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5570" windowHeight="9210" activeTab="1"/>
  </bookViews>
  <sheets>
    <sheet name="шаблон" sheetId="1" r:id="rId1"/>
    <sheet name="01.05.2013" sheetId="2" r:id="rId2"/>
  </sheets>
  <externalReferences>
    <externalReference r:id="rId5"/>
  </externalReferences>
  <definedNames>
    <definedName name="Коды_видовНПА">'[1]ВидыНПА'!$A$2:$A$74</definedName>
    <definedName name="Коды_полномочий">'[1]Полномочия'!$A$2:$A$643</definedName>
  </definedNames>
  <calcPr fullCalcOnLoad="1"/>
</workbook>
</file>

<file path=xl/sharedStrings.xml><?xml version="1.0" encoding="utf-8"?>
<sst xmlns="http://schemas.openxmlformats.org/spreadsheetml/2006/main" count="3167" uniqueCount="444">
  <si>
    <t>Код главного распорядителя средств бюджета</t>
  </si>
  <si>
    <t>Код расходного обязательства</t>
  </si>
  <si>
    <t>Наименование расходного обязательства</t>
  </si>
  <si>
    <t>Реквизиты правового акта, договора, соглашения</t>
  </si>
  <si>
    <t>Раздел, глава, статья, подстатья, пункт, подпункт, абзац правового акта, договора, соглашения</t>
  </si>
  <si>
    <t>Дата вступления в силу и срок действия правового акта, договора, соглашения</t>
  </si>
  <si>
    <t>Коды бюджетной классификации</t>
  </si>
  <si>
    <t>Объем ассигнований на исполнение расходного обязательства (тыс. руб.)</t>
  </si>
  <si>
    <t>план</t>
  </si>
  <si>
    <t>факт</t>
  </si>
  <si>
    <t>плановый период</t>
  </si>
  <si>
    <t>Код методики расчета объема расходов</t>
  </si>
  <si>
    <t>РЕЕСТР</t>
  </si>
  <si>
    <t>Потребность на обеспечение расходного обязательства (очередной финансовый год)</t>
  </si>
  <si>
    <t>раздел функциональ-ной классифика-ции</t>
  </si>
  <si>
    <t>подраздел функциональ-ной классифика-ции</t>
  </si>
  <si>
    <t>целевая статья функциональ-ной классифика-ции</t>
  </si>
  <si>
    <t>вид расходов функциональ-ной классифика-ции</t>
  </si>
  <si>
    <t>код подстатьи экономичес-кой классифика-ции</t>
  </si>
  <si>
    <t>расходных обязательств субъекта бюджетного планирования Череповецкого муниципального района</t>
  </si>
  <si>
    <t>Наименование субъекта бюджетного планирования</t>
  </si>
  <si>
    <t>отчетный финансовый год (2012г)</t>
  </si>
  <si>
    <t>текущий финансовый год (2013г)</t>
  </si>
  <si>
    <t>очередной финансовый год (2014г)</t>
  </si>
  <si>
    <t>первый год (2015г)</t>
  </si>
  <si>
    <t>второй год (2016г)</t>
  </si>
  <si>
    <t>075</t>
  </si>
  <si>
    <t>3.01.01.0.00</t>
  </si>
  <si>
    <t>финансирование расходов на содержание органов местного самоуправления муниципальных районов</t>
  </si>
  <si>
    <t>Постановление области от 07.12.2007 № 1113 "О наделении органов местного самоуправления отдельными госполномочиями в сфере образования"</t>
  </si>
  <si>
    <t>0920300</t>
  </si>
  <si>
    <t>500</t>
  </si>
  <si>
    <t>290</t>
  </si>
  <si>
    <t>5220026</t>
  </si>
  <si>
    <t>340</t>
  </si>
  <si>
    <t>Постановление администрации Череповецкого района от 27.04.2011 № 1376 Об утверждении долгосрочной целевой программы "Содействие занятости населения на 212-2014 годы"</t>
  </si>
  <si>
    <t>в целом</t>
  </si>
  <si>
    <t>5220001</t>
  </si>
  <si>
    <t>805</t>
  </si>
  <si>
    <t>241</t>
  </si>
  <si>
    <t>Постановление главы района от 14.10.2008 №991 "Профилактика преступлений и правонарушений в районе на 2009-2012г"</t>
  </si>
  <si>
    <t>п.7</t>
  </si>
  <si>
    <t>5220004</t>
  </si>
  <si>
    <t>3.01.12.0.00</t>
  </si>
  <si>
    <t>Постановление от 14.10.2008 №986 "Повышение безопасности дорожного движения в 2009-2012 годах"</t>
  </si>
  <si>
    <t>5220005</t>
  </si>
  <si>
    <t>3.01.18.0.00</t>
  </si>
  <si>
    <t>Постановление Правительства области от 23.12.2009 № 2038 ДЦП Об организации допризывной подготовки граждан Вологодской области на 2011-2013годы</t>
  </si>
  <si>
    <t>5225800</t>
  </si>
  <si>
    <t>Федеральный закон от 06.10.2003 № 131-ФЗ "Об общих принципах организации местного самоуправления в РФ"                                                                                                                                                                                                               
Постановление области от 07.12.2007 № 1113 "О наделении органов местного самоуправления отдельными госполномочиями в сфере образования"</t>
  </si>
  <si>
    <t>п.п.3.п.1   ст 17 гл.3</t>
  </si>
  <si>
    <t>0020400</t>
  </si>
  <si>
    <t>211</t>
  </si>
  <si>
    <t>212</t>
  </si>
  <si>
    <t>213</t>
  </si>
  <si>
    <t>221</t>
  </si>
  <si>
    <t>222</t>
  </si>
  <si>
    <t>223</t>
  </si>
  <si>
    <t>224</t>
  </si>
  <si>
    <t>225</t>
  </si>
  <si>
    <t>226</t>
  </si>
  <si>
    <t>Постановление администрации Череповецкого района от 01.03.2012 №101"Об осуществлении полномочий по исполнению публичных обязательств перед физическим лицом, подлежащих исполнению в денежной форме"</t>
  </si>
  <si>
    <t>5650200</t>
  </si>
  <si>
    <t>005</t>
  </si>
  <si>
    <t>3.03.01.0.00</t>
  </si>
  <si>
    <t>5650300</t>
  </si>
  <si>
    <t>3.01.17.0.00</t>
  </si>
  <si>
    <t>Постановление органов местного самоуправления от 03.03.2011 № 1418 "Об утверждении долгосрочной целевой программы "Охрана окружающей среды Череповецкого муниципального района 2012-2014 годы"</t>
  </si>
  <si>
    <t>5220023</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</si>
  <si>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</si>
  <si>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 xml:space="preserve">Федеральный закон об образовании от 10.07.1992 № 3266-1;               Постановление Правительства РФ от 12.09.2008 № 666 "Об утверждении  Типового положения о дошкольном образовательном учреждении"  Приказ Министерства образования и науки РФ от 27.10.2011 № 2562 "Об утверждении Типового положения о дошкольном образовательном учреждении"
Постановление Правительства РФ от 19.03.2001 № 196 "Об утверждении Типового положения об общеобразовательном учреждении"
Постановление области от 07.12.2007 № 1113 "О наделении органов местного самоуправления отдельными госполномочиями в сфере образования" </t>
  </si>
  <si>
    <t>гл.4, ст.41</t>
  </si>
  <si>
    <t>4200000</t>
  </si>
  <si>
    <t>804</t>
  </si>
  <si>
    <t>4200200</t>
  </si>
  <si>
    <t>Постановление администрации района от 31.10.2011 № 1566 ДЦП "Укрепление материально-технической базы муницип-х автономных, казенных и бюджетных учр-й на 2012-2014г"</t>
  </si>
  <si>
    <t>5220017</t>
  </si>
  <si>
    <t>Постановление администрации района ЦП "Развитие информационно-коммуникац. технологий"</t>
  </si>
  <si>
    <t>5220018</t>
  </si>
  <si>
    <t>Постановление администрации района от 31.10.2011 № 1562 ЦП "Комплексная безопасность муниципальных образ-х учр-й на 2012-2015г"</t>
  </si>
  <si>
    <t>5240002</t>
  </si>
  <si>
    <t>5220003</t>
  </si>
  <si>
    <t>Постановление администрации района от 21.09.2011 № 1359 ДЦП "Развитие системы дошкольно образования на 2012-2014г"</t>
  </si>
  <si>
    <t>5240003</t>
  </si>
  <si>
    <t>3.01.82.0.00</t>
  </si>
  <si>
    <t>Постановление администрации района от 21.09.2011 № 1360 ЦП "Энергосбережение в мун.обр-х учр-ях"</t>
  </si>
  <si>
    <t>5220016</t>
  </si>
  <si>
    <t>Постановление администрации района  ВЦП "Энергосбережение в мун.обр-х учр-ях Череповецкого р-на на 2012 год"</t>
  </si>
  <si>
    <t>5240001</t>
  </si>
  <si>
    <t>Федеральный закон об образовании от 10.07.1992 № 3266-1;                                        Федеральный закон от 06.10.2003 № 131-ФЗ "Об общих принципах организации местного самоуправления в РФ"   Постановление области от 07.12.2007 № 1113 "О наделении органов местного самоуправления отдельными госполномочиями в сфере образования"   Постановление Правительства РФ от 07.03.1995 № 233 "Об утверждении Типового положения об образовательном учреждении дополнительного образования детей"</t>
  </si>
  <si>
    <t>4210000</t>
  </si>
  <si>
    <t>п.п.13 п.1 ст.16 гл.3</t>
  </si>
  <si>
    <t>4230000</t>
  </si>
  <si>
    <t>Постановление администрации района от 05.05.2011 № 634 ЦП "Оптимизация сети  образ-х учр-й на 2011-2013г"</t>
  </si>
  <si>
    <t>5240004</t>
  </si>
  <si>
    <t>Постановление главы района от 29.04.2009 №476 "Об утверждении Порядка использования бюджетных ассигнований резервного фонда"</t>
  </si>
  <si>
    <t>п.3.1.2</t>
  </si>
  <si>
    <t>0700500</t>
  </si>
  <si>
    <t>Постановление администации Череповецкого района  от 22.03.2010 № 343 "О внесении изменений в структуру управления образования"</t>
  </si>
  <si>
    <t>4520000</t>
  </si>
  <si>
    <t>5220009</t>
  </si>
  <si>
    <t>310</t>
  </si>
  <si>
    <t>ДЦП"Доп.меропр на повышение качества жизни детей"</t>
  </si>
  <si>
    <t>3.03.13.0.00</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</si>
  <si>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</si>
  <si>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Постановление Правительства Вологодской области от 12.02.2008 № 231 Об утверждении Порядка предоставления и расходования субвенций на осуществление отдельных государственных полномочий в сфере образования</t>
  </si>
  <si>
    <t xml:space="preserve">в целом </t>
  </si>
  <si>
    <t>5250104</t>
  </si>
  <si>
    <t>Закон Вологодской области от 17.12.2007 № 1719 "О наделении органов местного самоуправления отдельными государственными полномочиями в сфере образования"                                                                       Постановление Правительства Вологодской области от 12.02.2008 № 231 Об утверждении Порядка предоставления и расходования субвенций на осуществление отдельных государственных полномочий в сфере образования</t>
  </si>
  <si>
    <t>3.03.16.0.00</t>
  </si>
  <si>
    <t>3.03.00.0.00</t>
  </si>
  <si>
    <t>3.03.12.0.00</t>
  </si>
  <si>
    <t>5250101</t>
  </si>
  <si>
    <t>3.03.14.0.00</t>
  </si>
  <si>
    <t>5250105</t>
  </si>
  <si>
    <t>5250108</t>
  </si>
  <si>
    <t>Постановление Правительства РФ от 31.12.2010 № 1238"О порядке предоставления субсидий из федерального бюджета бюджетам субъектов РФ на выплату вознаграждения за выполнение функций классного руководителя педагогическим работникам"</t>
  </si>
  <si>
    <t>3.03.03.0.00</t>
  </si>
  <si>
    <t>5200900</t>
  </si>
  <si>
    <t>3.03.28.0.00</t>
  </si>
  <si>
    <t>Внедрение инновационных образов-ных программ (поощ.сотр)</t>
  </si>
  <si>
    <t>5220301</t>
  </si>
  <si>
    <t>"Оптимизация сети общеобразовательных учр-й,реализующих основные обеобр-е программы общего образования, в 2011-2014 годах"</t>
  </si>
  <si>
    <t>5220308</t>
  </si>
  <si>
    <t>4210200</t>
  </si>
  <si>
    <t>"Оптимизация сети общеобразовательных учр-й, реализующих основные общеобр. Программы общего обр-я в 2011-2014г"</t>
  </si>
  <si>
    <t>5220311</t>
  </si>
  <si>
    <t>Закон Вологодской области от 17.12.2007 № 1719 "О наделении органов местного самоуправления отдельными государственными полномочиями в сфере образования" Постановление Правительства Вологодской области от 12.02.2008 № 231 Об утверждении Порядка предоставления и расходования субвенций на осуществление отдельных государственных полномочий в сфере образования</t>
  </si>
  <si>
    <t>3.03.24.0.00</t>
  </si>
  <si>
    <t>5250200</t>
  </si>
  <si>
    <t>3.03.18.0.00</t>
  </si>
  <si>
    <t>4320200</t>
  </si>
  <si>
    <t>5220029</t>
  </si>
  <si>
    <t>3.03.19.0.00</t>
  </si>
  <si>
    <t>5250300</t>
  </si>
  <si>
    <t>Закон РФ "Об образовании" от 10.07.1992 №3266-1 с изменениями от 05.12.2006 № 207-ФЗ      Постановлением Правительства Вологодской области от 25.02.2005 № 199 «О порядке предоставления мер социальной поддержки отдельным категориям граждан в целях реализации права на образование, их размере, а также порядке возмещения расходов» (с последующими изменениями)</t>
  </si>
  <si>
    <t>гл.5, ст.5.1,5.2</t>
  </si>
  <si>
    <t>262</t>
  </si>
  <si>
    <t>3.03.15.0.00</t>
  </si>
  <si>
    <t>5250102</t>
  </si>
  <si>
    <t>Закон Вологодской области от 12.07.2007 № 1720 "О наделении органов местного смоуправления отдельными государственными полномочиями по опеке и попечительству"</t>
  </si>
  <si>
    <t>3.03.23.0.00</t>
  </si>
  <si>
    <t>5201000</t>
  </si>
  <si>
    <t>3.03.22.0.00</t>
  </si>
  <si>
    <t>5201311</t>
  </si>
  <si>
    <t>5201312</t>
  </si>
  <si>
    <t>5201320</t>
  </si>
  <si>
    <t>Постановление администрации Череповецкого района</t>
  </si>
  <si>
    <t>4859704</t>
  </si>
  <si>
    <t>01</t>
  </si>
  <si>
    <t>13</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</si>
  <si>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</si>
  <si>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14</t>
  </si>
  <si>
    <t>03</t>
  </si>
  <si>
    <t>09</t>
  </si>
  <si>
    <t>04</t>
  </si>
  <si>
    <t>02</t>
  </si>
  <si>
    <t>07</t>
  </si>
  <si>
    <t>10</t>
  </si>
  <si>
    <t>организация мероприятий межпоселенческого характера по охране окружающей среды</t>
  </si>
  <si>
    <t>выполнение отдельных государственных полномочий по оплате жилищно-коммунальных услуг отдельным категориям граждан</t>
  </si>
  <si>
    <t>06</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</si>
  <si>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</si>
  <si>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t>
  </si>
  <si>
    <t xml:space="preserve">Закон Вологодской области от 17.12.2007 № 1719 "О наделении органов местного самоуправления отдельными государственными полномочиями в сфере образования"                                                                       Постановление Правительства Вологодской области от 12.02.2008 № 231 Об утверждении Порядка предоставления и расходования </t>
  </si>
  <si>
    <t xml:space="preserve">ежемесячное вознаграждение за классное руководство </t>
  </si>
  <si>
    <t>содержание и обучение детей с ограниченными возможностями здоровья, в том числе детей-сирот и детей, оставшихся без попечения родителей, за время их пребывания в соответствующем муниципальном специальном (коррекционном) образовательном учреждении для обучающихся, воспитанников с ограниченными возможностями здоровья</t>
  </si>
  <si>
    <t>обеспечение социальной поддержки детей, обучающихся в муниципальных общеобразовательных учреждениях, из многодетных семей, приемных семей, имеющих в своем составе трех и более детей, в том числе родных, в части предоставления денежных выплат на проезд на внутригородском транспорте (кроме такси), а также в автобусах пригородных и внутрирайонных линий и приобретение комплекта детской одежды для посещения школьных занятий, спортивной формы для занятий физической культурой</t>
  </si>
  <si>
    <t>обеспечение общеобразовательного процесса</t>
  </si>
  <si>
    <t>осуществление отдельных государственных полномочий в сфере предоставления мер социальной поддержки при проезде на транспорте</t>
  </si>
  <si>
    <t xml:space="preserve">Закон Вологодской области от 17.12.2007 № 1719 "О наделении органов местного самоуправления отдельными государственными полномочиями в сфере образования"      </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</si>
  <si>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</si>
  <si>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обеспечение детей-сирот и детей, оставшихся без попечения родителей, находящихся под опекой (попечительством) в семьях граждан, лиц из числа детей указанных категорий денежными выплатами на их содержание; на содержание детей-сирот и детей, оставшихся без попечения родителей, за время пребывания их у приемных родителей, лиц из числа детей указанных категорий, включая обеспечение денежными выплатами на их содержание, вознаграждение, выплачиваемое приемным родителям и выплату ежемесячного пособия</t>
  </si>
  <si>
    <t>обеспечение выплаты денежной компенсации части  платы, взимаемой с родителей (законных представителей) за содержание детей в муниципальных образовательных учреждениях области, реализующих основную общеобразовательную программу дошкольного образования, а также иных образовательных организациях, расположенных на территории области, реализующих основную общеобразовательную программу дошкольного образования</t>
  </si>
  <si>
    <t>реализация мероприятий по проведению оздоровительной компании детей, находящихся в трудной жизненной ситуации</t>
  </si>
  <si>
    <t xml:space="preserve">Закон Вологодской области от 17.12.2007 № 1719 "О наделении органов местного самоуправления отдельными государственными полномочиями в сфере образования"       </t>
  </si>
  <si>
    <t>на модернизацию региональных систем общего образования</t>
  </si>
  <si>
    <t>ИТОГО 075</t>
  </si>
  <si>
    <t>ФЗ "О размещении заказов на поставки товаров, выполнение работ, оказание услуг для государственных и муниципальных нужд." от 21.07.2005 № 94-ФЗ</t>
  </si>
  <si>
    <t>ФЗ "Об общих принципах организации местного самоуправления в РФ" от 06.10.2003 № 131-ФЗ</t>
  </si>
  <si>
    <t xml:space="preserve">Соглашения между поселениями Череповецкого района и Комитетом имущественных отношений Череповецкого муниципального района о передаче полномочий </t>
  </si>
  <si>
    <t>владение, пользование и распоряжение имуществом, находящимся в муниципальной собственности муниципального района</t>
  </si>
  <si>
    <t>0022900</t>
  </si>
  <si>
    <t>Решение Муниципального Собрания Череповецкого муниципального района "Об утверждении Положения об управлении и распоряжении муниципальным имуществом Череповецкого муниципального района" от 19.06.2008 № 49</t>
  </si>
  <si>
    <t>Решение Муниципального Собрания Череповецкого муниципального района"Об утверждении Положения об управлении и распоряжении муниципальным имуществом Череповецкого муниципального района" от 14.12.2010 № 279</t>
  </si>
  <si>
    <t>Решение Муниципального Собрания Череповецкого муниципального района "О внесении изменени в Положение  "Об управлении и распоряжении муниципальным имуществом Череповецкого муниципального района" от 28.06.2011 № 357</t>
  </si>
  <si>
    <t>Решение Муниципального Собрания Череповецкого муниципального района "Об утверждении Положения о Комитете имущественных отношений администрации Череповецкого муниципального района Вологодской области" от 26.09.2007 № 455</t>
  </si>
  <si>
    <t>Решение Муниципального Собрания Череповецкого муниципального района "О внесении изменени в Положение  "Об утверждении Положения о Комитете имущественных отношений администрации Череповецкого муниципального района Вологодской области" от 07.04.2011 №320</t>
  </si>
  <si>
    <t>Решение Муниципального Собрания Череповецкого муниципального района "Об утверждении Положения о Комитете имущественных отношений администрации Череповецкого муниципального района Вологодской области" от 18.05.2011 № 351</t>
  </si>
  <si>
    <t xml:space="preserve">Постановление администрации Череповецкого муниципального района "Об утверждении долгосрочной целевой программы «Укрепление материально-технической базы муниципальных автономных, казенных и бюджетных учреждений
Череповецкого муниципального района на 2012-2014 годы» от 31.10.2011 № 1516
</t>
  </si>
  <si>
    <t xml:space="preserve">Постановление администрации Череповецкого муниципального района "Об утверждении долгосрочной целевой программы «Развитие информационно-коммуникационных технологий в Череповецком муниципальном районе на 2011 – 2013 годы» от 15.02.2011 № 217
</t>
  </si>
  <si>
    <t>ст.8, 68</t>
  </si>
  <si>
    <t>12</t>
  </si>
  <si>
    <t>3400300</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</si>
  <si>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</si>
  <si>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Решение Муниципального Собрания Череповецкого муниципального района "О внесении изменений в решение
Муниципального Собрания района от 21.12.2011 № 405 «О бюджете Череповецкого муниципального района на  2012 год и плановый период 2013 и 2014 годов»" от 19.09.2012 № 475</t>
  </si>
  <si>
    <t>3405001</t>
  </si>
  <si>
    <t>003</t>
  </si>
  <si>
    <t>530</t>
  </si>
  <si>
    <t>ИТОГО 164</t>
  </si>
  <si>
    <t>Решение Муниципального Собрания Череповецкого муниципального района от 15.11.07 № 510</t>
  </si>
  <si>
    <t>Решение Муниципального Собрания Череповецкого муниципального района от 12.12.07 № 515</t>
  </si>
  <si>
    <t xml:space="preserve">Соглашения между поселениями Череповецкого района и Муниципальным Собранием Череповецкого муниципального района о передаче полномочий </t>
  </si>
  <si>
    <t>ИТОГО 886</t>
  </si>
  <si>
    <t>Постановление №1376 от 27.09.2011 "Об утверждении ДЦП "Программа содействия занятости населения на 2012-2014 г"</t>
  </si>
  <si>
    <t>п.1</t>
  </si>
  <si>
    <t>01.01.2012-31.12.2014</t>
  </si>
  <si>
    <t>Закон ВО №1067-ОЗ от 22.10.2004 "О денежной компенсации на приобретение книгоиздательской продукции и периодических изданий"</t>
  </si>
  <si>
    <t xml:space="preserve">Решение муниципального собрания от13.12.2012 №505 "О бюджете Череповецкого муниципального района на 2013 год и плановый период 2014-2015 годов"; Решение муниципального собрания от21.12.2011 №405 "О бюджете Череповецкого муниципального района на 2012 год и плановый период 2013-2014 годов" </t>
  </si>
  <si>
    <t>Постановление администрации от 08.07.2011 №983 О ДОЛГОСРОЧНОЙ ЦЕЛЕВОЙ ПРОГРАММЕ ЧЕРЕПОВЕЦКОГО МУНИЦИПАЛЬНОГО РАЙОНА "СТАРШЕЕ ПОКОЛЕНИЕ" НА 2011 - 2013 ГОДЫ</t>
  </si>
  <si>
    <t>01.01.2011-31.12.2013</t>
  </si>
  <si>
    <t>5220025</t>
  </si>
  <si>
    <t>Постановление администрации от 26.08.2011 №1242 "О ДОЛГОСРОЧНОЙ ЦЕЛЕВОЙ ПРОГРАММЕ "ДОПОЛНИТЕЛЬНЫЕ МЕРОПРИЯТИЯ, НАПРАВЛЕННЫЕ НА ПОВЫШЕНИЕ КАЧЕСТВА ЖИЗНИ ДЕТЕЙ, СЕМЕЙ С ДЕТЬМИ В ЧЕРЕПОВЕЦКОМ МУНИЦИПАЛЬНОМ РАЙОНЕ" НА 2012 - 2015 ГОДЫ"</t>
  </si>
  <si>
    <t>01.01.2012-31.12.2015</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</si>
  <si>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</si>
  <si>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Решение муниципального собрания от 28.02.2012 №417 "О социальной поддержке отдельных категорий граждан" Постановление администрации от 23.04.2012 №906 " Об утверждении порядка и условий предоставления мер социальной поддержки"</t>
  </si>
  <si>
    <t>01.01.2012-31.12.2012</t>
  </si>
  <si>
    <t>Постановление администрации Череповецкого района №630 от 26.03.2012 "Об обеспечении отдыха, оздоровления и занятости детей, проживающих на территории района в 2012 году"</t>
  </si>
  <si>
    <t>01.01.2011-31.12.2012</t>
  </si>
  <si>
    <t xml:space="preserve">Федеральный закон от 12.01.1995 №5-ФЗ "О ветеранах";  Федеральный закон от 24.11.1995 №181-ФЗ "О социальной защите инвалидов в Российской Федерации"; Федеральный закон от 15.05.1991 №1244-1 "О СОЦИАЛЬНОЙ ЗАЩИТЕ ГРАЖДАН, ПОДВЕРГШИХСЯ ВОЗДЕЙСТВИЮ РАДИАЦИИ ВСЛЕДСТВИЕ КАТАСТРОФЫ НА ЧЕРНОБЫЛЬСКОЙ АЭС"; ФЗ от 26.11.1998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ФЗ от 10.01.2002 №2-ФЗ "О СОЦИАЛЬНЫХ ГАРАНТИЯХ ГРАЖДАНАМ,
ПОДВЕРГШИМСЯ РАДИАЦИОННОМУ ВОЗДЕЙСТВИЮ ВСЛЕДСТВИЕ
ЯДЕРНЫХ ИСПЫТАНИЙ НА СЕМИПАЛАТИНСКОМ ПОЛИГОНЕ"
</t>
  </si>
  <si>
    <t>5054600</t>
  </si>
  <si>
    <t xml:space="preserve">ФЗ от 17.07.1999 №178-ФЗ "О ГОСУДАРСТВЕННОЙ СОЦИАЛЬНОЙ ПОМОЩИ"; Закон ВО от 01.06.2005 №1285-ОЗ"О МЕРАХ СОЦИАЛЬНОЙ ПОДДЕРЖКИ ОТДЕЛЬНЫХ КАТЕГОРИЙ ГРАЖДАН";ФЗ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СЕМЕЙ";Закон ВО от 29.12.2003 №982-ОЗ "Об охране семьи, материнства, отцовства и детства в Вологодской области";
</t>
  </si>
  <si>
    <t xml:space="preserve">ФЗ от 17.07.1999 №178-ФЗ "О ГОСУДАРСТВЕННОЙ СОЦИАЛЬНОЙ ПОМОЩИ"; Закон ВО от 01.06.2005 №1285-ОЗ"О МЕРАХ СОЦИАЛЬНОЙ ПОДДЕРЖКИ ОТДЕЛЬНЫХ КАТЕГОРИЙ ГРАЖДАН";ФЗ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СЕМЕЙ";Закон ВО от 29.12.2003 №982-ОЗ "Об охране семьи, материнства, отцовства и детства в Вологодской области"; 
</t>
  </si>
  <si>
    <t>передаваемые полномочия по предоставлению субсидий на оплату жилого помещения и коммунальных услуг</t>
  </si>
  <si>
    <t>Постановление Правительства ВО №761 от 14.12.2005 О ПРЕДОСТАВЛЕНИИ СУБСИДИЙ НА ОПЛАТУ ЖИЛОГО ПОМЕЩЕНИЯ И КОММУНАЛЬНЫХ УСЛУГ</t>
  </si>
  <si>
    <t>п.65</t>
  </si>
  <si>
    <t>5054800</t>
  </si>
  <si>
    <t>п.66</t>
  </si>
  <si>
    <t>п.67</t>
  </si>
  <si>
    <t xml:space="preserve">Закон ВО от 17.12.2007 №1718-ОЗ "О НАДЕЛЕНИИ ОРГАНОВ МЕСТНОГО САМОУПРАВЛЕНИЯ
ОТДЕЛЬНЫМИ ГОСУДАРСТВЕННЫМИ ПОЛНОМОЧИЯМИ
В СФЕРЕ СОЦИАЛЬНОЙ ЗАЩИТЫ НАСЕЛЕНИЯ ОБЛАСТИ"
</t>
  </si>
  <si>
    <t>ст.2, п.2</t>
  </si>
  <si>
    <t>выполнение отдельных государственных полномочий по обеспечению мер социальной поддержки и социального обслуживания отдельных категорий граждан</t>
  </si>
  <si>
    <t>Постановление Правительства ВО №238 от 05.03.2010 "Об утверждении положения о порядке и условиях частичной оплаты стоимости путевок в организации отдыха детей и их оздоровления и питания детей в лагерях дневного пребывания"</t>
  </si>
  <si>
    <t xml:space="preserve">ПОСТАНОВЛЕНИЕ ПРАВИТЕЛЬСТВА ВО от 26 марта 2010 г. N 334 О ДОЛГОСРОЧНОЙ ЦЕЛЕВОЙ ПРОГРАММЕ "БЕЗБАРЬЕРНАЯ СРЕДА" НА 2010 - 2014 ГОДЫ
</t>
  </si>
  <si>
    <t>01.01.2010-31.12.2014</t>
  </si>
  <si>
    <t>5225700</t>
  </si>
  <si>
    <t>Постановление Правительства ВО №164 от 28.02.2011 "О ДОЛГОСРОЧНОЙ ЦЕЛЕВОЙ ПРОГРАММЕ"СТАРШЕЕ ПОКОЛЕНИЕ" НА 2011 - 2015 ГОДЫ"</t>
  </si>
  <si>
    <t>01.01.2011-01.01.2015</t>
  </si>
  <si>
    <t>5226400</t>
  </si>
  <si>
    <t>Постановление Правительства ВО №577 от 25.05.2011 О ДОЛГОСРОЧНОЙ ЦЕЛЕВОЙ ПРОГРАММЕ "ДОПОЛНИТЕЛЬНЫЕ МЕРОПРИЯТИЯ, НАПРАВЛЕННЫЕ НА ПОВЫШЕНИЕ КАЧЕСТВА ЖИЗНИ ДЕТЕЙ, СЕМЕЙ С ДЕТЬМИ В ВОЛОГОДСКОЙ ОБЛАСТИ" НА 2012 - 2015 ГОДЫ</t>
  </si>
  <si>
    <t>01.01.2012-01.01.2015</t>
  </si>
  <si>
    <t>5227000</t>
  </si>
  <si>
    <t>5227400</t>
  </si>
  <si>
    <t>Закон Вол.обл №1235 от 01.03.2005" О СОЦИАЛЬНОМ ОБСЛУЖИВАНИИ НАСЕЛЕНИЯ В ВОЛОГОДСКОЙ ОБЛАСТИ"</t>
  </si>
  <si>
    <t>ст.6</t>
  </si>
  <si>
    <t xml:space="preserve">ФЗ от 12.01.1996 №8-ФЗ "О погребении и похоронном деле";
</t>
  </si>
  <si>
    <t xml:space="preserve">ФЗ от 17.07.1999 №178-ФЗ "О ГОСУДАРСТВЕННОЙ СОЦИАЛЬНОЙ ПОМОЩИ"; Закон ВО от 01.06.2005 №1285-ОЗ"О МЕРАХ СОЦИАЛЬНОЙ ПОДДЕРЖКИ ОТДЕЛЬНЫХ КАТЕГОРИЙ ГРАЖДАН";Закон ВО от 29.12.2003 №982-ОЗ "Об охране семьи, материнства, отцовства и детства в Вологодской области"; 
</t>
  </si>
  <si>
    <t xml:space="preserve">ст.2, </t>
  </si>
  <si>
    <t>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 нуждающихся в опеке и попечительстве</t>
  </si>
  <si>
    <t xml:space="preserve">Закон ВО от 17.12.2007 №1718-ОЗ "О НАДЕЛЕНИИ ОРГАНОВ МЕСТНОГО САМОУПРАВЛЕНИЯ
ОТДЕЛЬНЫМИ ГОСУДАРСТВЕННЫМИ ПОЛНОМОЧИЯМИ
В СФЕРЕ СОЦИАЛЬНОЙ ЗАЩИТЫ НАСЕЛЕНИЯ ОБЛАСТИ"; Закон ВО от 17.12.2007 №1720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t>
  </si>
  <si>
    <t>5251200</t>
  </si>
  <si>
    <t>Постановление Правительства ВО №632 от 31.05.2010 ОБ УТВЕРЖДЕНИИ ПОЛОЖЕНИЯ ОБ УСЛОВИЯХ И ПОРЯДКЕ ОПЛАТЫ ДЛЯ ДЕТЕЙ, НАХОДЯЩИХСЯ В ТРУДНОЙ ЖИЗНЕННОЙ СИТУАЦИИ, СТОИМОСТИ ПИТАНИЯ В ДЕТСКИХ ОЗДОРОВИТЕЛЬНЫХ ЛАГЕРЯХ С ДНЕВНЫМ ПРЕБЫВАНИЕМ, СТОИМОСТИ ПРОЕЗДА НА МЕЖДУГОРОДНОМ ТРАНСПОРТЕ ОРГАНИЗОВАННЫХ ГРУПП ДЕТЕЙ К МЕСТАМ ОТДЫХА И ОБРАТНО И СТОИМОСТИ ПУТЕВОК В ОРГАНИЗАЦИИ ОТДЫХА ДЕТЕЙ И ИХ ОЗДОРОВЛЕНИЯ</t>
  </si>
  <si>
    <t>в области социальной политики</t>
  </si>
  <si>
    <t>Постановление от 15.02.13 №292 "О передаче полномочий по исполнению публичных обязательств перед физическим лицом, подлежащих исполнению в денежной форме"</t>
  </si>
  <si>
    <t>Решение муниципального собрания от 28.06.2010 №248 "О социальной поддержке отдельных категорий граждан проживающих и работающих в сельской местности на территории района"; Решение муниципального собрания от 15.07.2010 №898 "О порядке назначения и выплат мер социальной поддержки отдельных категорий граждан проживающих и работающих в сельской местности на территории района"</t>
  </si>
  <si>
    <t>5058500</t>
  </si>
  <si>
    <t>ИТОГО 880</t>
  </si>
  <si>
    <t>Федеральный закон "Об общих принципах местного самоуправления в РФ" от 06.10.2003 № 131</t>
  </si>
  <si>
    <t>0020300</t>
  </si>
  <si>
    <t>Решение Муниципального Собрания "Об оплате труда главы Череповецкого муниципального района, первого заместителя главы района, руководителя управления образования района" от 20.03.2008 № 16</t>
  </si>
  <si>
    <t>Решение Муниципального Собрания Череповецкого муниципального района "Устав Череповецкого муниципального района"от  12.12.07 № 515</t>
  </si>
  <si>
    <t>ФЗ "Об общих принципах местного самоуправления в РФ" от 06.10.2003 № 131</t>
  </si>
  <si>
    <t>ФЗ "О размещении заказов на поставки товаров, выполнение работ, оказание услуг для государственных и муниципальных нужд" от 21.07.2055 № 94</t>
  </si>
  <si>
    <t>Решение Муниципального Собрания "Об оплате труда муниципальных служащих в органах местного самоуправления Череповецкого муниципального района" от 20.03.2008 № 15</t>
  </si>
  <si>
    <t>Постановление администрации Череповецкого муниципального района "О порядке расходования представительских расходов" от 26.09.2006 № 673</t>
  </si>
  <si>
    <t>Постановление администрации Череповецкого муниципального района "О внесении изменений в Постановление администрации района №673 от 26.09.2006" от 03.07.2007 № 551</t>
  </si>
  <si>
    <t>Постановление администрации Череповецкого муниципального района "Об утверждении положения о порядке расходования средств резервного фонда Череповецкого муниципального района" от 21.11.2007 № 933</t>
  </si>
  <si>
    <t>013</t>
  </si>
  <si>
    <t xml:space="preserve">Постановление администрации Череповецкого муниципального района "Об утверждении долгосрочной целевой программы «Содействие занятости населения Череповецкого муниципального района на 2012-2014 годы»  от 27.09.2011 № 1376
</t>
  </si>
  <si>
    <t>Постановление главы района "Развитие и поддержка малого предпринимательства Череповецкого муниципального района" от 14.10.2008 № 992; постановление администрации Череповецкого муниципального района "Развитие и поддержка малого и среднего предпринимательства Череповецкого муниципального района на 2013-2016 годы" от 15.10.2012 № 2617</t>
  </si>
  <si>
    <t>5220002</t>
  </si>
  <si>
    <t>Постановление администрации Череповецкого муниципального района "Комплексные меры противодействия злоупотреблению наркотиками и их незаконному обороту в Череповецком муниципальном районе на 2011-2012 годы" от 13.11.10 № 1399; постановление администрации Череповецкого муниципального района "Комплексные меры по противодействию  незаконному обороту наркотиков, профилактики нареомании в Череповецком муниципальном районе на 2013-2014 годы" от 14.09.12 № 2354</t>
  </si>
  <si>
    <t xml:space="preserve">Постановление администрации Череповецкого муниципального района  «Об утверждении долгосрочной целевой программы «Развитие муниципальной службы в Череповецком муниципальном районе в 2011-2013 годах» от 15.03.2011 № 333
</t>
  </si>
  <si>
    <t>5220020</t>
  </si>
  <si>
    <t>Постановление администрации Череповецкого муниципального района ""Об утверждении долгосрочной целевой программы "Старшее поколение на 2011-2013 годы" от 24.08.2010 № 1084</t>
  </si>
  <si>
    <t>Постановление Правительства Вологодской области "О долгосрочной целевой программе Безбарьерная среда» на 2010-2012" годы от 26.03.2010 г. № 334</t>
  </si>
  <si>
    <t>Решение Муниципального Собрания "Об утверждении районной целевой программы "Комплексная программа профилактики правонарушений в Череповецком муниципальном районе в 2007-2012 г.г." от 18.01.2007 № 404; Постановление администрации Череповецкого муниципального района "Об утверждении долгосрочной целевой программы "Профилактика преступлений и правонарушений В череповецком муниципальном районе на 2013-2016 годы" от 05.09.2012 № 2279</t>
  </si>
  <si>
    <t>31.12.2008; 01.01.2012</t>
  </si>
  <si>
    <t>5220200</t>
  </si>
  <si>
    <t xml:space="preserve">Постановление администрации Череповецкого муниципального района "Об утверждении долгосрочной целевой программы «Развитие агропромышленного комплекса Череповецкого муниципального района на 2013-2020 годы»  от 10.09.2012 № 2335
</t>
  </si>
  <si>
    <t>05</t>
  </si>
  <si>
    <t>5220028</t>
  </si>
  <si>
    <t xml:space="preserve">Постановление администрации Череповецкого муниципального района "О долгосрочной целевой программе «Развитие туризма в Череповецком муниципальном районе на 2011-2013 годы» от 06.10.2010 № 1230
</t>
  </si>
  <si>
    <t>5220012</t>
  </si>
  <si>
    <t>3520000</t>
  </si>
  <si>
    <t>Постановление администрации Череповецкого муниципального района "Об утверждении ДЦП "Комплексное развитие систем коммунальной инфраструктуры в Череповецком муниципальном районе на 2011-2015 г.г." от 14.04.2010 № 480</t>
  </si>
  <si>
    <t>5220015</t>
  </si>
  <si>
    <t>Постановление Правительства Вологодской области от 04.10.2010 N 1134 "Об утверждении долгосрочной целевой программы "Вода Вологодчины" на 2011 - 2020 годы.</t>
  </si>
  <si>
    <t>5224700</t>
  </si>
  <si>
    <t>020</t>
  </si>
  <si>
    <t>Постановление Правительства РФ от 22 декабря 2010 г. N 1092 "О федеральной целевой программе "Чистая вода" на 2011 - 2017 годы"</t>
  </si>
  <si>
    <t>1009300</t>
  </si>
  <si>
    <t>Постановление администрации Череповецкого муниципального района"Об утверждении положения о доплате к пенсиям лицам, замещавшим муниципальные должности и должности муницйипальных служащих Череповецкого муниципального района" от 28.10.2003 № 400</t>
  </si>
  <si>
    <t>4910100</t>
  </si>
  <si>
    <t>263</t>
  </si>
  <si>
    <t xml:space="preserve"> Постановление Правительства РФ "Об утверждении ФЦП "Социальное развитие села до 2012 г." от 03.12.2002 № 858</t>
  </si>
  <si>
    <t>1001101</t>
  </si>
  <si>
    <t>099</t>
  </si>
  <si>
    <t>1001102</t>
  </si>
  <si>
    <t>Постановление Правительства Российской Федерации "Об утверждении ФЦП  "Жилище" на 2011-2015 годы " от 17.12.2010г. №1050</t>
  </si>
  <si>
    <t>1008820</t>
  </si>
  <si>
    <t>010</t>
  </si>
  <si>
    <t>5059000</t>
  </si>
  <si>
    <t>5140100</t>
  </si>
  <si>
    <t>Постановление администрации Череповецкого муниципального района "Обеспечение жильем молодых семей в Череповецком муниципальном районе на 2009 - 2011 г.г." от 14.10.2008 № 987</t>
  </si>
  <si>
    <t>5220010</t>
  </si>
  <si>
    <t>501</t>
  </si>
  <si>
    <t>Постановление администрации Череповецкого муниципального района "Социальное развитие села в Череповецком муниципальном районе на 2009- 2015 г." от 21.05.2009 №29</t>
  </si>
  <si>
    <t>5220011</t>
  </si>
  <si>
    <t>021</t>
  </si>
  <si>
    <t>Постановление Законодательного Собрания Вологодской области от 20 апреля 2005 г. № 318 “Об областной целевой программе “Обеспечение жильем молодых семей в Вологодской области на 2005 - 2010 годы”</t>
  </si>
  <si>
    <t>5222300</t>
  </si>
  <si>
    <t>5222901</t>
  </si>
  <si>
    <t>5222902</t>
  </si>
  <si>
    <t>Постановление администрации Череповецкого муниципального района  "О перечне полномочий администрации района по исполнению публичных обязательств перед физическим лицом, подлежащих исполнению в денежной форме" от 31.01.2012 № 183</t>
  </si>
  <si>
    <t xml:space="preserve">Постановление администрации Череповецкого муниципального района "Меры социальной поддержки на удешевление стоимости путёвок на санаторно-курортное лечение работников бюджетной сферы " от 15.03.2011 № 333
</t>
  </si>
  <si>
    <t>11</t>
  </si>
  <si>
    <t>Постановление главы района "О создании бюджетного учреждения "Централизованная бухгалтерия Череповецкого муниципального района" от 21.11.2008 № 1085</t>
  </si>
  <si>
    <t>0020000</t>
  </si>
  <si>
    <t>Постановление главы района "О создании МУ "Агенство содействия инвестициям Череповецкого муниципального района" от 19.07.2007 №60</t>
  </si>
  <si>
    <t>3400000</t>
  </si>
  <si>
    <t>5220021</t>
  </si>
  <si>
    <t>Постановление администрации Череповецкого муниципального района "Об утверждении долгосрочной целевой программы "Развитие молодежной политики Череповецкого муниципального  района на 2013 - 2015 годы" от 25.07.2012 № 1876</t>
  </si>
  <si>
    <t>08</t>
  </si>
  <si>
    <t>Постановление Правительства Вологодской области № 888 от 25.07.2011
Долгосрочная целевая программа "Развитие библиотечного дела в Вологодской области на 2012-2016годы"</t>
  </si>
  <si>
    <t>5222000</t>
  </si>
  <si>
    <t>Постановление администрации Череповецкого муниципального района "Об утверждении долгосрочной целевой программы  "Развитие и сохранение культуры Череповецкого муниципального района на 2012-2014 годы" от 31.10.2011 №1565</t>
  </si>
  <si>
    <t>5220024</t>
  </si>
  <si>
    <t>Постановление главы района "О создании муниципального учреждения "Комитет по физической культуре и спорту Череповецкого муниципального района" от 14.11.2008 № 1072</t>
  </si>
  <si>
    <t>4820000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</si>
  <si>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</si>
  <si>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0200002</t>
  </si>
  <si>
    <t>0200003</t>
  </si>
  <si>
    <t>Решение районного Собрания представителей "Об утверждении положения о звании "Почетный гражданин Череповецкого района" от 23.10.2001 № 166; Постановление администрации Череповецкого муниципального района  "О перечне полномочий администрации района по исполнению публичных обязательств перед физическим лицом, подлежащих исполнению в денежной форме" от 31.01.2012 № 183</t>
  </si>
  <si>
    <t>01.01.2002                                            01.01.2012</t>
  </si>
  <si>
    <t>5650100</t>
  </si>
  <si>
    <t>организация в границах муниципального района электро- и газоснабжения поселений</t>
  </si>
  <si>
    <t>Постановление Правительства Вологодской области "Об утверждении ДЦП "Газификация Вологодской области на 2011-2013г.г." от 4 октября 2010 г. N 1129</t>
  </si>
  <si>
    <t>5226100</t>
  </si>
  <si>
    <t>участие в предупреждении и ликвидации последствий чрезвычайных ситуаций на территории муниципального района</t>
  </si>
  <si>
    <t>2180100</t>
  </si>
  <si>
    <t xml:space="preserve">Постановление администрации Череповецкого муниципального района "Об утверждении долгосрочной целевой программы "Повышение безопасности дорожного движения в 2009-2012 годах" от 14.10.2008 №986
        </t>
  </si>
  <si>
    <t>3150204</t>
  </si>
  <si>
    <t xml:space="preserve">Постановление администрации Череповецкого муниципального района "Об утверждении долгосрочной целевой программы "Развитие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период 2012-2014 годы" от 08.08.2011 № 1155
        </t>
  </si>
  <si>
    <t>5220022</t>
  </si>
  <si>
    <t>Постановление администрации Череповецкого муниципального района "Об утверждении долгосрочной целевой программы "Охрана окружающей среды Череповецкого муниципального района на 2012-2014 годы" от 03.10.2011 № 1418</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</si>
  <si>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</si>
  <si>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Постановление Правительства Вологодской области "О Программе модернизации здравоохранения Вологодской области на 2011 - 2012 годы" от 04.03.2011 № 183</t>
  </si>
  <si>
    <t>0960100</t>
  </si>
  <si>
    <t xml:space="preserve">Постановление Правительства Вологодской области "Об утверждении Порядка реализации в 2011 - 2012 годах мероприятий по внедрению информационных систем в здравоохранение и расходования средств на эти цели" от 03.10.2001 № 1241
</t>
  </si>
  <si>
    <t>0960200</t>
  </si>
  <si>
    <t>4710000</t>
  </si>
  <si>
    <t>Постановление администрации Череповецкого муниципального района "Комплексные меры противодействия злоупотреблению наркотиками и их незаконному обороту в Череповецком муниципальном районе на 2011-2012 годы" от 13.11.10 № 1399</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</si>
  <si>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</si>
  <si>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4570000</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</si>
  <si>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</si>
  <si>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 xml:space="preserve">Соглашения между поселениями Череповецкого района и администрацией Череповецкого муниципального района о передаче полномочий </t>
  </si>
  <si>
    <t>организация и осуществление мероприятий межпоселенческого характера по работе с детьми и молодежью</t>
  </si>
  <si>
    <t>4310100</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</si>
  <si>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</si>
  <si>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Постановление Правительства Вологодской области "Об утверждении правил предоставления и расходовании иных межбюджетных трансфертов на комплектование книжных фондов библиотек муниципальных образований области" от 30.05.2011 № 606</t>
  </si>
  <si>
    <t>4400200</t>
  </si>
  <si>
    <t>Решение Муниципального Собрания  "О межмуниципальном сотрудничестве в сфере культуры" от 26.10.2011 № 373</t>
  </si>
  <si>
    <t>4420000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</si>
  <si>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</si>
  <si>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</si>
  <si>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</si>
  <si>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Постановление администрации Череповецкого муниципального района "Об утверждении долгосрочной целевой программы "Социальное развитие села в Череповецком муниципальном районе на 2009-2015 г.г." от 21.05.2009 № 29
        </t>
  </si>
  <si>
    <t>806</t>
  </si>
  <si>
    <t>Постановление администрации Череповецкого муниципального района № 333 от 17.08.2011 "Об утверждении ДЦП «Развитие физической культуры и спорта в Череповецком муниципальном районе на 2012-2014 годы"</t>
  </si>
  <si>
    <t>5220027</t>
  </si>
  <si>
    <t>составление (изменение и дополнение) списков кандидатов в присяжные заседатели федеральных судов общей юрисдикции в Российской Федерации</t>
  </si>
  <si>
    <t>0014000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</si>
  <si>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</si>
  <si>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Соглашение о мнжмуниципальном сотрудничестве в сфере участия в предупреждении и ликвидации последствий чрезвычайных ситуаций от 29.01.2011 б/н</t>
  </si>
  <si>
    <t>7252000</t>
  </si>
  <si>
    <t>251</t>
  </si>
  <si>
    <t>осуществление мер по противодействию коррупции в границах муниципального района</t>
  </si>
  <si>
    <t>Постановление администрации Череповецкого муниципального района "Об утверждении долгосрочной целевой программы «Противодействие коррупции в Череповецком муниципальном районе на 2011-2012 годы" от 24.08.2010 №1084</t>
  </si>
  <si>
    <t>5220013</t>
  </si>
  <si>
    <t>Постановление администрации Череповецкого муниципального района "Об утверждении долгосрочной целевой программы "Энергосбережение на территории Череповецкого муниципального района на 2011-2015" от 30.07.2010 № 960</t>
  </si>
  <si>
    <t>4400000</t>
  </si>
  <si>
    <t>Решение представительных органов муниципальных образований области № 372 от 26.10.2011 О межмуниципальном сотрудничестве в сфере культуры</t>
  </si>
  <si>
    <t>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t>
  </si>
  <si>
    <t>Закон Вологодской области "О регулировании некоторых вопросов оплаты труда муниципальных служащих в Вологодской области" от 26.12.2007 №1727</t>
  </si>
  <si>
    <t>5250500</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</si>
  <si>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по формированию состава  и обеспечению деятельности комиссий по делам несовершеннолетних и защите их прав" от 26.02.2006 № 194</t>
  </si>
  <si>
    <t>осуществление отдельных государственных полномочий в сфере архивного дела</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</si>
  <si>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в сфере архивного дела" от 07.08.2006 № 777</t>
  </si>
  <si>
    <t>5250600</t>
  </si>
  <si>
    <t>осуществление отдельных государственных полномочий в сфере охраны окружающей среды</t>
  </si>
  <si>
    <t>Постановление Правительства Вологодской области "Порядок финансирования из областного бюджета природоохранных мероприятий и видов деятельности" от 18.04.2005 № 388</t>
  </si>
  <si>
    <t>5250700</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</si>
  <si>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в сфере охраны окружающей среды" от 03.11.2006 № 1058</t>
  </si>
  <si>
    <t>осуществление отдельных государственных полномочий в сфере регулирования цен (тарифов)</t>
  </si>
  <si>
    <t>Постановление Правительства Вологодской области "О порядке расходования и учета средств на выполнение отдельных государственных полномочий в сфере регулирования цен (тарифов)" от 15.01.2007 № 25</t>
  </si>
  <si>
    <t>5250800</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</si>
  <si>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по формированию состава, финансовому и материально-техническому обеспечению деятельности административных комиссий, по составлению протоколов и рассмотрению дел об административных правонарушениях" от 11.09.2005 № 892</t>
  </si>
  <si>
    <t>осуществление отдельных государственных полномочий по созданию в муниципальных районах и городских округах области административных комиссий</t>
  </si>
  <si>
    <t>5251100</t>
  </si>
  <si>
    <t>осуществление отдельных государственных полномочий по определению перечня должностных лиц, уполномоченных составлять протоколы об административных правонарушениях</t>
  </si>
  <si>
    <t>5251300</t>
  </si>
  <si>
    <t>осуществление отдельных государственных полномочий в сфере здравоохранения</t>
  </si>
  <si>
    <t>Решение Муниципального Собрания  "О межмуниципальном сотрудничестве в сфере оказания скорой медицинской помощи" от 13.11.2010 № 276</t>
  </si>
  <si>
    <t>5251500</t>
  </si>
  <si>
    <t>осуществление полномочий по обеспечению жильем отдельных категорий граждан - ветеранов ВОВ 1941-1945 гг</t>
  </si>
  <si>
    <t>ФЗ от 12.01.1995 г. №5-ФЗ "О ветеранах"  в соответствии с указом Президента РФ № 714 от 07.05.08</t>
  </si>
  <si>
    <t>5053401</t>
  </si>
  <si>
    <t>ФЗ от12.01.1995 г.№ 5-ФЗ "О ветеранах" и от 24.11.1995 г.№ 181-ФЗ "О социальной защите инвалидов в РФ"</t>
  </si>
  <si>
    <t>5053402</t>
  </si>
  <si>
    <t>5201800</t>
  </si>
  <si>
    <t>Постановление Правительства Вологодской области "Долгосрочная целевая программа "Пожарная безопасность учреждений здравоохранения" на 2009 -2012 годы" от 09.09.2008 № 1724</t>
  </si>
  <si>
    <t>5221800</t>
  </si>
  <si>
    <t>ИТОГО 801</t>
  </si>
  <si>
    <t>0650300</t>
  </si>
  <si>
    <t>231</t>
  </si>
  <si>
    <t>ИТОГО 825</t>
  </si>
  <si>
    <t>ИТОГО</t>
  </si>
  <si>
    <t>Решение Муниципального Собрания района от 20.03.2008 №15 "Об оплате труда муниципальных служащих в органах местного самоуправления Череповецкого муниципального района" (с изменениями)</t>
  </si>
  <si>
    <t>Федеральный закон от 21.07.2005 №94-ФЗ "О размещении заказов на поставки товаров, выполнение работ, оказание услуг для гос. и муниципальных нужд"</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</si>
  <si>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</si>
  <si>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Постановление администрации района от 27.12.2010 №1743 "Об утверждении долгосрочной целевой программы "Предотвращение распространения сорного растения борщевик Сосновского на территории Череповецкого муниципального района на 2011-2013 годы"</t>
  </si>
  <si>
    <t>01.01.2011 до 31.12.2013</t>
  </si>
  <si>
    <t>5220019</t>
  </si>
  <si>
    <t>Постановление Правительства Вологодской области от 04.10.2010 №1122-ПП "О долгосрочной целевой программе"Предотвращение распространения сорного растения борщевик Сосновского на территории Вологодской области на 2011-2013 годы"</t>
  </si>
  <si>
    <t>5224900</t>
  </si>
  <si>
    <t>Закон Вологодской области от 19.12.2005 №1398-О "О наделении органов местного самоуправления муниципальных Вологодской области отдельными государственными полномочиями в сфере сельского хозяйства"</t>
  </si>
  <si>
    <t>глава 6</t>
  </si>
  <si>
    <t>01.01.2011 до 31.12.2015</t>
  </si>
  <si>
    <t>5250900</t>
  </si>
  <si>
    <t>Постановление администрации Череповецкого муниципального района от 13.06.2012 №1383</t>
  </si>
  <si>
    <t>ИТОГО 682</t>
  </si>
  <si>
    <t xml:space="preserve">Постановление администрации района от 15.02.2011 №217 "Об утверждении долгосрочной целевой программы «Развитие информационно-коммуникационных технологий в Череповецком муниципальном районе на 2011 – 2013 годы»
</t>
  </si>
  <si>
    <t>Решение Муниципального Собрания района от 13.12.2012 №505 "О бюджете Череповецкого муниципального района на 2013 год и плановый период 2014 и 2015 годов"</t>
  </si>
  <si>
    <t>01.01.2013 до 31.12.2013</t>
  </si>
  <si>
    <t>3.01.22.0.00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</si>
  <si>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</si>
  <si>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3.01.22.0.01</t>
  </si>
  <si>
    <t>3.01.22.0.02</t>
  </si>
  <si>
    <t>3.01.22.0.03</t>
  </si>
  <si>
    <t>3.01.22.0.04</t>
  </si>
  <si>
    <t>3.01.22.0.05</t>
  </si>
  <si>
    <t>3.01.22.0.06</t>
  </si>
  <si>
    <t>расходных обязательств Череповецкого муниципального района</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</si>
</sst>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Red]\-#,##0.00\ "/>
    <numFmt numFmtId="165" formatCode="0\.00\.00\.0\.00"/>
    <numFmt numFmtId="166" formatCode="#,##0.00;[Red]\-#,##0.00;0.00"/>
  </numFmts>
  <fonts count="40">
    <font>
      <sz val="10"/>
      <name val="Arial Cyr"/>
      <family val="0"/>
    </font>
    <font>
      <sz val="11"/>
      <color indexed="8"/>
      <name val="Calibri"/>
      <family val="2"/>
    </font>
    <font>
      <sz val="8"/>
      <name val="Arial Cyr"/>
      <family val="0"/>
    </font>
    <font>
      <sz val="9"/>
      <name val="Arial Cyr"/>
      <family val="0"/>
    </font>
    <font>
      <sz val="10"/>
      <name val="Arial"/>
      <family val="2"/>
    </font>
    <font>
      <b/>
      <sz val="8"/>
      <name val="Arial Cyr"/>
      <family val="0"/>
    </font>
    <fon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bottom style="thin"/>
    </border>
    <border>
      <left style="medium"/>
      <right style="thin"/>
      <top style="thin"/>
      <bottom style="thin"/>
    </border>
    <border>
      <left/>
      <right style="thin"/>
      <top/>
      <bottom style="thin"/>
    </border>
    <border>
      <left style="medium"/>
      <right style="thin"/>
      <top style="thin"/>
      <bottom/>
    </border>
    <border>
      <left/>
      <right style="thin"/>
      <top style="thin"/>
      <bottom style="thin"/>
    </border>
    <border>
      <left style="thin"/>
      <right/>
      <top style="thin"/>
      <bottom/>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4"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54">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10" xfId="0" applyFont="1" applyBorder="1" applyAlignment="1">
      <alignment horizontal="center"/>
    </xf>
    <xf numFmtId="0" fontId="3" fillId="0" borderId="10" xfId="0" applyFont="1" applyBorder="1" applyAlignment="1">
      <alignment horizontal="center" wrapText="1"/>
    </xf>
    <xf numFmtId="0" fontId="2" fillId="0" borderId="10" xfId="0" applyFont="1" applyBorder="1" applyAlignment="1">
      <alignment horizontal="center" vertical="top"/>
    </xf>
    <xf numFmtId="0" fontId="3" fillId="0" borderId="0" xfId="0" applyFont="1" applyAlignment="1">
      <alignment horizontal="left"/>
    </xf>
    <xf numFmtId="0" fontId="3" fillId="0" borderId="11" xfId="0" applyFont="1" applyBorder="1" applyAlignment="1">
      <alignment horizontal="center"/>
    </xf>
    <xf numFmtId="0" fontId="2" fillId="0" borderId="10" xfId="0" applyFont="1" applyBorder="1" applyAlignment="1">
      <alignment horizontal="center" vertical="top" wrapText="1"/>
    </xf>
    <xf numFmtId="0" fontId="3" fillId="0" borderId="0" xfId="0" applyFont="1" applyAlignment="1">
      <alignment horizontal="center"/>
    </xf>
    <xf numFmtId="0" fontId="2" fillId="0" borderId="10" xfId="0" applyFont="1" applyBorder="1" applyAlignment="1">
      <alignment/>
    </xf>
    <xf numFmtId="0" fontId="2" fillId="0" borderId="12" xfId="0" applyNumberFormat="1" applyFont="1" applyBorder="1" applyAlignment="1" applyProtection="1">
      <alignment wrapText="1"/>
      <protection hidden="1"/>
    </xf>
    <xf numFmtId="0" fontId="2" fillId="0" borderId="10" xfId="0" applyFont="1" applyBorder="1" applyAlignment="1">
      <alignment wrapText="1" shrinkToFit="1"/>
    </xf>
    <xf numFmtId="14" fontId="2" fillId="0" borderId="10" xfId="0" applyNumberFormat="1" applyFont="1" applyBorder="1" applyAlignment="1">
      <alignment/>
    </xf>
    <xf numFmtId="0" fontId="2" fillId="33" borderId="10" xfId="0" applyFont="1" applyFill="1" applyBorder="1" applyAlignment="1">
      <alignment wrapText="1" shrinkToFit="1"/>
    </xf>
    <xf numFmtId="0" fontId="2" fillId="33" borderId="10" xfId="0" applyFont="1" applyFill="1" applyBorder="1" applyAlignment="1">
      <alignment/>
    </xf>
    <xf numFmtId="49" fontId="2" fillId="0" borderId="10" xfId="0" applyNumberFormat="1" applyFont="1" applyBorder="1" applyAlignment="1">
      <alignment horizontal="center"/>
    </xf>
    <xf numFmtId="4" fontId="2" fillId="0" borderId="10" xfId="0" applyNumberFormat="1" applyFont="1" applyBorder="1" applyAlignment="1">
      <alignment horizontal="center"/>
    </xf>
    <xf numFmtId="1" fontId="2" fillId="0" borderId="10" xfId="0" applyNumberFormat="1" applyFont="1" applyBorder="1" applyAlignment="1">
      <alignment horizontal="center"/>
    </xf>
    <xf numFmtId="0" fontId="2" fillId="0" borderId="10" xfId="0" applyFont="1" applyBorder="1" applyAlignment="1">
      <alignment horizontal="center"/>
    </xf>
    <xf numFmtId="165" fontId="2" fillId="0" borderId="10" xfId="0" applyNumberFormat="1" applyFont="1" applyBorder="1" applyAlignment="1">
      <alignment horizontal="center"/>
    </xf>
    <xf numFmtId="0" fontId="2" fillId="33" borderId="10" xfId="0" applyFont="1" applyFill="1" applyBorder="1" applyAlignment="1">
      <alignment horizontal="center"/>
    </xf>
    <xf numFmtId="165" fontId="2" fillId="33" borderId="10" xfId="0" applyNumberFormat="1" applyFont="1" applyFill="1" applyBorder="1" applyAlignment="1">
      <alignment horizontal="center"/>
    </xf>
    <xf numFmtId="0" fontId="2" fillId="33" borderId="10" xfId="0" applyFont="1" applyFill="1" applyBorder="1" applyAlignment="1">
      <alignment horizontal="center" wrapText="1" shrinkToFit="1"/>
    </xf>
    <xf numFmtId="14" fontId="2" fillId="33" borderId="10" xfId="0" applyNumberFormat="1" applyFont="1" applyFill="1" applyBorder="1" applyAlignment="1">
      <alignment horizontal="center"/>
    </xf>
    <xf numFmtId="49" fontId="2" fillId="33" borderId="10" xfId="0" applyNumberFormat="1" applyFont="1" applyFill="1" applyBorder="1" applyAlignment="1">
      <alignment horizontal="center"/>
    </xf>
    <xf numFmtId="4" fontId="2" fillId="33" borderId="10" xfId="0" applyNumberFormat="1" applyFont="1" applyFill="1" applyBorder="1" applyAlignment="1">
      <alignment horizontal="center"/>
    </xf>
    <xf numFmtId="1" fontId="2" fillId="33" borderId="10" xfId="0" applyNumberFormat="1" applyFont="1" applyFill="1" applyBorder="1" applyAlignment="1">
      <alignment horizontal="center"/>
    </xf>
    <xf numFmtId="0" fontId="2" fillId="33" borderId="12" xfId="0" applyNumberFormat="1" applyFont="1" applyFill="1" applyBorder="1" applyAlignment="1" applyProtection="1">
      <alignment horizontal="left" wrapText="1"/>
      <protection hidden="1"/>
    </xf>
    <xf numFmtId="0" fontId="2" fillId="33" borderId="12" xfId="0" applyNumberFormat="1" applyFont="1" applyFill="1" applyBorder="1" applyAlignment="1" applyProtection="1">
      <alignment vertical="top" wrapText="1"/>
      <protection hidden="1"/>
    </xf>
    <xf numFmtId="0" fontId="2" fillId="33" borderId="10" xfId="0" applyFont="1" applyFill="1" applyBorder="1" applyAlignment="1">
      <alignment horizontal="left" wrapText="1" shrinkToFit="1"/>
    </xf>
    <xf numFmtId="14" fontId="2" fillId="33" borderId="10" xfId="0" applyNumberFormat="1" applyFont="1" applyFill="1" applyBorder="1" applyAlignment="1">
      <alignment horizontal="center" wrapText="1" shrinkToFit="1"/>
    </xf>
    <xf numFmtId="0" fontId="2" fillId="33" borderId="12" xfId="0" applyNumberFormat="1" applyFont="1" applyFill="1" applyBorder="1" applyAlignment="1" applyProtection="1">
      <alignment horizontal="center" vertical="top" wrapText="1"/>
      <protection hidden="1"/>
    </xf>
    <xf numFmtId="0" fontId="2" fillId="33" borderId="12" xfId="0" applyNumberFormat="1" applyFont="1" applyFill="1" applyBorder="1" applyAlignment="1" applyProtection="1">
      <alignment horizontal="left" vertical="top" wrapText="1"/>
      <protection hidden="1"/>
    </xf>
    <xf numFmtId="0" fontId="2" fillId="33" borderId="10" xfId="0" applyFont="1" applyFill="1" applyBorder="1" applyAlignment="1">
      <alignment horizontal="left" vertical="top" wrapText="1" shrinkToFit="1"/>
    </xf>
    <xf numFmtId="0" fontId="2" fillId="33" borderId="10" xfId="0" applyNumberFormat="1" applyFont="1" applyFill="1" applyBorder="1" applyAlignment="1" applyProtection="1">
      <alignment horizontal="left" vertical="top" wrapText="1"/>
      <protection hidden="1"/>
    </xf>
    <xf numFmtId="0" fontId="2" fillId="33" borderId="10" xfId="0" applyFont="1" applyFill="1" applyBorder="1" applyAlignment="1">
      <alignment horizontal="center" vertical="top"/>
    </xf>
    <xf numFmtId="0" fontId="2" fillId="33" borderId="10" xfId="0" applyFont="1" applyFill="1" applyBorder="1" applyAlignment="1">
      <alignment horizontal="center" vertical="top" wrapText="1" shrinkToFit="1"/>
    </xf>
    <xf numFmtId="14" fontId="2" fillId="0" borderId="10" xfId="0" applyNumberFormat="1" applyFont="1" applyBorder="1" applyAlignment="1">
      <alignment horizontal="center"/>
    </xf>
    <xf numFmtId="0" fontId="2" fillId="0" borderId="12" xfId="0" applyNumberFormat="1" applyFont="1" applyBorder="1" applyAlignment="1" applyProtection="1">
      <alignment horizontal="left" wrapText="1"/>
      <protection hidden="1"/>
    </xf>
    <xf numFmtId="0" fontId="2" fillId="0" borderId="10" xfId="0" applyFont="1" applyBorder="1" applyAlignment="1">
      <alignment horizontal="center" vertical="top" wrapText="1"/>
    </xf>
    <xf numFmtId="0" fontId="2" fillId="0" borderId="10" xfId="0" applyFont="1" applyBorder="1" applyAlignment="1" applyProtection="1">
      <alignment vertical="top" wrapText="1"/>
      <protection locked="0"/>
    </xf>
    <xf numFmtId="0" fontId="5" fillId="0" borderId="0" xfId="0" applyFont="1" applyAlignment="1">
      <alignment/>
    </xf>
    <xf numFmtId="0" fontId="2" fillId="0" borderId="10" xfId="0" applyNumberFormat="1" applyFont="1" applyBorder="1" applyAlignment="1">
      <alignment horizontal="center"/>
    </xf>
    <xf numFmtId="0" fontId="2" fillId="0" borderId="10" xfId="0" applyFont="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5" fillId="0" borderId="10" xfId="0" applyFont="1" applyBorder="1" applyAlignment="1">
      <alignment horizontal="center"/>
    </xf>
    <xf numFmtId="2" fontId="2" fillId="0" borderId="10" xfId="0" applyNumberFormat="1" applyFont="1" applyBorder="1" applyAlignment="1">
      <alignment horizontal="center"/>
    </xf>
    <xf numFmtId="2" fontId="5" fillId="0" borderId="10" xfId="0" applyNumberFormat="1" applyFont="1" applyBorder="1" applyAlignment="1">
      <alignment horizontal="center"/>
    </xf>
    <xf numFmtId="2" fontId="2" fillId="0" borderId="10" xfId="0" applyNumberFormat="1" applyFont="1" applyBorder="1" applyAlignment="1">
      <alignment/>
    </xf>
    <xf numFmtId="2" fontId="5" fillId="0" borderId="10" xfId="0" applyNumberFormat="1" applyFont="1" applyBorder="1" applyAlignment="1">
      <alignment/>
    </xf>
    <xf numFmtId="4" fontId="5" fillId="0" borderId="10" xfId="0" applyNumberFormat="1" applyFont="1" applyBorder="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2" fillId="0" borderId="11" xfId="0" applyFont="1" applyBorder="1" applyAlignment="1">
      <alignment horizontal="center"/>
    </xf>
    <xf numFmtId="0" fontId="2" fillId="0" borderId="0" xfId="0" applyFont="1" applyAlignment="1">
      <alignment wrapText="1"/>
    </xf>
    <xf numFmtId="0" fontId="2" fillId="0" borderId="10" xfId="0" applyFont="1" applyBorder="1" applyAlignment="1">
      <alignment horizontal="center" wrapText="1"/>
    </xf>
    <xf numFmtId="49" fontId="2" fillId="0" borderId="13" xfId="0" applyNumberFormat="1" applyFont="1" applyFill="1" applyBorder="1" applyAlignment="1">
      <alignment horizontal="center"/>
    </xf>
    <xf numFmtId="0" fontId="2" fillId="0" borderId="14" xfId="0" applyFont="1" applyBorder="1" applyAlignment="1">
      <alignment/>
    </xf>
    <xf numFmtId="49" fontId="2" fillId="0" borderId="10" xfId="0" applyNumberFormat="1" applyFont="1" applyFill="1" applyBorder="1" applyAlignment="1">
      <alignment horizontal="center"/>
    </xf>
    <xf numFmtId="164" fontId="5" fillId="0" borderId="10" xfId="0" applyNumberFormat="1" applyFont="1" applyFill="1" applyBorder="1" applyAlignment="1" applyProtection="1">
      <alignment horizontal="center"/>
      <protection locked="0"/>
    </xf>
    <xf numFmtId="164" fontId="2" fillId="0" borderId="10" xfId="0" applyNumberFormat="1" applyFont="1" applyFill="1" applyBorder="1" applyAlignment="1" applyProtection="1">
      <alignment horizontal="center"/>
      <protection locked="0"/>
    </xf>
    <xf numFmtId="164" fontId="2" fillId="0" borderId="10" xfId="0" applyNumberFormat="1" applyFont="1" applyBorder="1" applyAlignment="1" applyProtection="1">
      <alignment horizontal="center"/>
      <protection locked="0"/>
    </xf>
    <xf numFmtId="0" fontId="2" fillId="0" borderId="10" xfId="0" applyFont="1" applyBorder="1" applyAlignment="1">
      <alignment wrapText="1"/>
    </xf>
    <xf numFmtId="0" fontId="2" fillId="33" borderId="10" xfId="0" applyFont="1" applyFill="1" applyBorder="1" applyAlignment="1">
      <alignment vertical="top" wrapText="1"/>
    </xf>
    <xf numFmtId="14" fontId="2" fillId="33" borderId="10" xfId="0" applyNumberFormat="1" applyFont="1" applyFill="1" applyBorder="1" applyAlignment="1">
      <alignment/>
    </xf>
    <xf numFmtId="164" fontId="2" fillId="33" borderId="10" xfId="0" applyNumberFormat="1" applyFont="1" applyFill="1" applyBorder="1" applyAlignment="1" applyProtection="1">
      <alignment horizontal="center"/>
      <protection locked="0"/>
    </xf>
    <xf numFmtId="164" fontId="5" fillId="33" borderId="10" xfId="0" applyNumberFormat="1" applyFont="1" applyFill="1" applyBorder="1" applyAlignment="1" applyProtection="1">
      <alignment horizontal="center"/>
      <protection locked="0"/>
    </xf>
    <xf numFmtId="0" fontId="2" fillId="33" borderId="0" xfId="0" applyFont="1" applyFill="1" applyAlignment="1">
      <alignment/>
    </xf>
    <xf numFmtId="0" fontId="2" fillId="0" borderId="10" xfId="0" applyFont="1" applyFill="1" applyBorder="1" applyAlignment="1">
      <alignment horizontal="center"/>
    </xf>
    <xf numFmtId="0" fontId="2" fillId="0" borderId="10" xfId="0" applyFont="1" applyFill="1" applyBorder="1" applyAlignment="1">
      <alignment/>
    </xf>
    <xf numFmtId="14" fontId="2" fillId="0" borderId="10" xfId="0" applyNumberFormat="1" applyFont="1" applyFill="1" applyBorder="1" applyAlignment="1">
      <alignment/>
    </xf>
    <xf numFmtId="49" fontId="2" fillId="33" borderId="13" xfId="0" applyNumberFormat="1" applyFont="1" applyFill="1" applyBorder="1" applyAlignment="1">
      <alignment horizontal="center"/>
    </xf>
    <xf numFmtId="0" fontId="2" fillId="33" borderId="14" xfId="0" applyFont="1" applyFill="1" applyBorder="1" applyAlignment="1">
      <alignment/>
    </xf>
    <xf numFmtId="49" fontId="2" fillId="33" borderId="15" xfId="0" applyNumberFormat="1" applyFont="1" applyFill="1" applyBorder="1" applyAlignment="1">
      <alignment horizontal="center"/>
    </xf>
    <xf numFmtId="0" fontId="2" fillId="33" borderId="10" xfId="0" applyFont="1" applyFill="1" applyBorder="1" applyAlignment="1">
      <alignment wrapText="1"/>
    </xf>
    <xf numFmtId="0" fontId="5" fillId="33" borderId="10" xfId="0" applyFont="1" applyFill="1" applyBorder="1" applyAlignment="1">
      <alignment/>
    </xf>
    <xf numFmtId="0" fontId="2" fillId="33" borderId="16" xfId="0" applyFont="1" applyFill="1" applyBorder="1" applyAlignment="1">
      <alignment/>
    </xf>
    <xf numFmtId="0" fontId="2" fillId="0" borderId="16" xfId="0" applyFont="1" applyBorder="1" applyAlignment="1">
      <alignment/>
    </xf>
    <xf numFmtId="49" fontId="5" fillId="33" borderId="10" xfId="0" applyNumberFormat="1" applyFont="1" applyFill="1" applyBorder="1" applyAlignment="1">
      <alignment horizontal="center"/>
    </xf>
    <xf numFmtId="0" fontId="2" fillId="0" borderId="10" xfId="0" applyFont="1" applyBorder="1" applyAlignment="1">
      <alignment vertical="top" wrapText="1"/>
    </xf>
    <xf numFmtId="4" fontId="2" fillId="0" borderId="10" xfId="0" applyNumberFormat="1" applyFont="1" applyFill="1" applyBorder="1" applyAlignment="1" applyProtection="1">
      <alignment horizontal="center"/>
      <protection locked="0"/>
    </xf>
    <xf numFmtId="4" fontId="2" fillId="0" borderId="10" xfId="0" applyNumberFormat="1" applyFont="1" applyFill="1" applyBorder="1" applyAlignment="1">
      <alignment horizontal="center"/>
    </xf>
    <xf numFmtId="0" fontId="2" fillId="33" borderId="10" xfId="0" applyNumberFormat="1" applyFont="1" applyFill="1" applyBorder="1" applyAlignment="1">
      <alignment horizontal="left" vertical="top" wrapText="1"/>
    </xf>
    <xf numFmtId="0" fontId="2" fillId="0" borderId="10" xfId="0" applyFont="1" applyFill="1" applyBorder="1" applyAlignment="1">
      <alignment wrapText="1"/>
    </xf>
    <xf numFmtId="0" fontId="2" fillId="33" borderId="17" xfId="0" applyFont="1" applyFill="1" applyBorder="1" applyAlignment="1">
      <alignment vertical="top" wrapText="1"/>
    </xf>
    <xf numFmtId="0" fontId="2" fillId="0" borderId="18" xfId="0" applyFont="1" applyBorder="1" applyAlignment="1" applyProtection="1">
      <alignment vertical="top" wrapText="1"/>
      <protection locked="0"/>
    </xf>
    <xf numFmtId="0" fontId="2" fillId="0" borderId="19" xfId="0" applyFont="1" applyBorder="1" applyAlignment="1">
      <alignment vertical="top" wrapText="1"/>
    </xf>
    <xf numFmtId="0" fontId="2" fillId="0" borderId="19" xfId="0" applyNumberFormat="1" applyFont="1" applyBorder="1" applyAlignment="1">
      <alignment vertical="top" wrapText="1"/>
    </xf>
    <xf numFmtId="0" fontId="2" fillId="33" borderId="19" xfId="0" applyFont="1" applyFill="1" applyBorder="1" applyAlignment="1">
      <alignment vertical="top" wrapText="1"/>
    </xf>
    <xf numFmtId="0" fontId="2" fillId="0" borderId="0" xfId="0" applyFont="1" applyFill="1" applyAlignment="1">
      <alignment/>
    </xf>
    <xf numFmtId="0" fontId="2" fillId="0" borderId="10" xfId="0" applyNumberFormat="1" applyFont="1" applyBorder="1" applyAlignment="1">
      <alignment wrapText="1"/>
    </xf>
    <xf numFmtId="0" fontId="5" fillId="0" borderId="10" xfId="0" applyFont="1" applyBorder="1" applyAlignment="1">
      <alignment/>
    </xf>
    <xf numFmtId="164" fontId="5" fillId="0" borderId="10" xfId="0" applyNumberFormat="1" applyFont="1" applyBorder="1" applyAlignment="1">
      <alignment horizontal="center"/>
    </xf>
    <xf numFmtId="164" fontId="2" fillId="0" borderId="10" xfId="0" applyNumberFormat="1" applyFont="1" applyBorder="1" applyAlignment="1">
      <alignment horizontal="center"/>
    </xf>
    <xf numFmtId="0" fontId="2" fillId="0" borderId="12" xfId="0" applyNumberFormat="1" applyFont="1" applyBorder="1" applyAlignment="1" applyProtection="1">
      <alignment vertical="top" wrapText="1"/>
      <protection hidden="1"/>
    </xf>
    <xf numFmtId="166" fontId="6" fillId="0" borderId="10" xfId="52" applyNumberFormat="1" applyFont="1" applyFill="1" applyBorder="1" applyAlignment="1" applyProtection="1">
      <alignment horizontal="center"/>
      <protection hidden="1"/>
    </xf>
    <xf numFmtId="0" fontId="2" fillId="0" borderId="10" xfId="0" applyFont="1" applyBorder="1" applyAlignment="1">
      <alignment vertical="top" wrapText="1" shrinkToFit="1"/>
    </xf>
    <xf numFmtId="14" fontId="2" fillId="0" borderId="16" xfId="0" applyNumberFormat="1" applyFont="1" applyBorder="1" applyAlignment="1">
      <alignment/>
    </xf>
    <xf numFmtId="0" fontId="5" fillId="0" borderId="10" xfId="0" applyFont="1" applyBorder="1" applyAlignment="1">
      <alignment/>
    </xf>
    <xf numFmtId="0" fontId="2" fillId="0" borderId="10" xfId="0" applyFont="1" applyBorder="1" applyAlignment="1">
      <alignment/>
    </xf>
    <xf numFmtId="165" fontId="2" fillId="0" borderId="10" xfId="0" applyNumberFormat="1" applyFont="1" applyBorder="1" applyAlignment="1" applyProtection="1">
      <alignment horizontal="center"/>
      <protection locked="0"/>
    </xf>
    <xf numFmtId="0" fontId="2" fillId="0" borderId="10" xfId="0" applyFont="1" applyBorder="1" applyAlignment="1" applyProtection="1">
      <alignment horizontal="center" wrapText="1"/>
      <protection locked="0"/>
    </xf>
    <xf numFmtId="14" fontId="2" fillId="0" borderId="10" xfId="0" applyNumberFormat="1" applyFont="1" applyBorder="1" applyAlignment="1" applyProtection="1">
      <alignment horizontal="center" wrapText="1"/>
      <protection locked="0"/>
    </xf>
    <xf numFmtId="0" fontId="2" fillId="0" borderId="10" xfId="0" applyFont="1" applyBorder="1" applyAlignment="1" applyProtection="1">
      <alignment wrapText="1"/>
      <protection locked="0"/>
    </xf>
    <xf numFmtId="0" fontId="2" fillId="0" borderId="0" xfId="0" applyFont="1" applyAlignment="1">
      <alignment horizontal="center" vertical="top"/>
    </xf>
    <xf numFmtId="4" fontId="2" fillId="0" borderId="10" xfId="0" applyNumberFormat="1" applyFont="1" applyBorder="1" applyAlignment="1">
      <alignment/>
    </xf>
    <xf numFmtId="14" fontId="2" fillId="0" borderId="10" xfId="0" applyNumberFormat="1" applyFont="1" applyBorder="1" applyAlignment="1">
      <alignment wrapText="1"/>
    </xf>
    <xf numFmtId="4" fontId="5" fillId="0" borderId="0" xfId="0" applyNumberFormat="1" applyFont="1" applyBorder="1" applyAlignment="1">
      <alignment/>
    </xf>
    <xf numFmtId="0" fontId="2" fillId="0" borderId="0" xfId="0" applyFont="1" applyBorder="1" applyAlignment="1">
      <alignment/>
    </xf>
    <xf numFmtId="164" fontId="5" fillId="0" borderId="10" xfId="0" applyNumberFormat="1" applyFont="1" applyBorder="1" applyAlignment="1">
      <alignment/>
    </xf>
    <xf numFmtId="0" fontId="2" fillId="33" borderId="10" xfId="0" applyFont="1" applyFill="1" applyBorder="1" applyAlignment="1" applyProtection="1">
      <alignment vertical="top" wrapText="1"/>
      <protection locked="0"/>
    </xf>
    <xf numFmtId="0" fontId="2" fillId="33" borderId="18" xfId="0" applyFont="1" applyFill="1" applyBorder="1" applyAlignment="1">
      <alignment horizontal="left" vertical="top" wrapText="1" shrinkToFit="1"/>
    </xf>
    <xf numFmtId="0" fontId="2" fillId="33" borderId="18" xfId="0" applyFont="1" applyFill="1" applyBorder="1" applyAlignment="1">
      <alignment horizontal="center" vertical="top" wrapText="1" shrinkToFit="1"/>
    </xf>
    <xf numFmtId="0" fontId="2" fillId="0" borderId="10" xfId="0" applyFont="1" applyBorder="1" applyAlignment="1">
      <alignment horizontal="center" vertical="top" wrapText="1"/>
    </xf>
    <xf numFmtId="0" fontId="3" fillId="0" borderId="0" xfId="0" applyFont="1" applyAlignment="1">
      <alignment horizontal="center"/>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12" xfId="0" applyFont="1" applyBorder="1" applyAlignment="1">
      <alignment horizontal="center"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14" fontId="2" fillId="0" borderId="18" xfId="0" applyNumberFormat="1" applyFont="1" applyBorder="1" applyAlignment="1">
      <alignment horizontal="center" wrapText="1"/>
    </xf>
    <xf numFmtId="14" fontId="2" fillId="0" borderId="19" xfId="0" applyNumberFormat="1" applyFont="1" applyBorder="1" applyAlignment="1">
      <alignment horizontal="center" wrapText="1"/>
    </xf>
    <xf numFmtId="14" fontId="2" fillId="0" borderId="12" xfId="0" applyNumberFormat="1" applyFont="1" applyBorder="1" applyAlignment="1">
      <alignment horizontal="center" wrapText="1"/>
    </xf>
    <xf numFmtId="14" fontId="2" fillId="0" borderId="10" xfId="0" applyNumberFormat="1" applyFont="1" applyBorder="1" applyAlignment="1">
      <alignment horizontal="center" wrapText="1"/>
    </xf>
    <xf numFmtId="0" fontId="2" fillId="33" borderId="18" xfId="0" applyFont="1" applyFill="1" applyBorder="1" applyAlignment="1">
      <alignment horizontal="left" vertical="top" wrapText="1" shrinkToFit="1"/>
    </xf>
    <xf numFmtId="0" fontId="2" fillId="33" borderId="12" xfId="0" applyFont="1" applyFill="1" applyBorder="1" applyAlignment="1">
      <alignment horizontal="left" vertical="top" wrapText="1" shrinkToFit="1"/>
    </xf>
    <xf numFmtId="0" fontId="2" fillId="0" borderId="18" xfId="0" applyFont="1" applyBorder="1" applyAlignment="1">
      <alignment horizontal="left" vertical="top" wrapText="1" shrinkToFit="1"/>
    </xf>
    <xf numFmtId="0" fontId="2" fillId="0" borderId="19" xfId="0" applyFont="1" applyBorder="1" applyAlignment="1">
      <alignment horizontal="left" vertical="top" wrapText="1" shrinkToFit="1"/>
    </xf>
    <xf numFmtId="0" fontId="2" fillId="0" borderId="12" xfId="0" applyFont="1" applyBorder="1" applyAlignment="1">
      <alignment horizontal="left" vertical="top" wrapText="1" shrinkToFit="1"/>
    </xf>
    <xf numFmtId="0" fontId="2" fillId="33" borderId="19" xfId="0" applyFont="1" applyFill="1" applyBorder="1" applyAlignment="1">
      <alignment horizontal="left" vertical="top" wrapText="1" shrinkToFit="1"/>
    </xf>
    <xf numFmtId="0" fontId="2" fillId="33" borderId="18" xfId="0" applyFont="1" applyFill="1" applyBorder="1" applyAlignment="1">
      <alignment horizontal="center" wrapText="1" shrinkToFit="1"/>
    </xf>
    <xf numFmtId="0" fontId="2" fillId="33" borderId="19" xfId="0" applyFont="1" applyFill="1" applyBorder="1" applyAlignment="1">
      <alignment horizontal="center" wrapText="1" shrinkToFit="1"/>
    </xf>
    <xf numFmtId="0" fontId="2" fillId="33" borderId="12" xfId="0" applyFont="1" applyFill="1" applyBorder="1" applyAlignment="1">
      <alignment horizontal="center" wrapText="1" shrinkToFit="1"/>
    </xf>
    <xf numFmtId="0" fontId="2" fillId="0" borderId="0" xfId="0" applyFont="1" applyAlignment="1">
      <alignment horizontal="center"/>
    </xf>
    <xf numFmtId="0" fontId="2" fillId="0" borderId="10" xfId="0" applyNumberFormat="1" applyFont="1" applyBorder="1" applyAlignment="1">
      <alignment horizontal="center" vertical="top" wrapText="1"/>
    </xf>
    <xf numFmtId="0" fontId="2" fillId="0" borderId="19" xfId="0" applyFont="1" applyBorder="1" applyAlignment="1">
      <alignment horizontal="center" vertical="top" wrapText="1"/>
    </xf>
    <xf numFmtId="0" fontId="2" fillId="0" borderId="12" xfId="0" applyFont="1" applyBorder="1" applyAlignment="1">
      <alignment horizontal="center" vertical="top" wrapText="1"/>
    </xf>
    <xf numFmtId="0" fontId="2" fillId="0" borderId="10" xfId="0" applyFont="1" applyBorder="1" applyAlignment="1">
      <alignment wrapText="1"/>
    </xf>
    <xf numFmtId="0" fontId="2" fillId="0" borderId="10" xfId="0" applyFont="1" applyFill="1" applyBorder="1" applyAlignment="1">
      <alignment horizontal="center" vertical="top" wrapText="1"/>
    </xf>
    <xf numFmtId="0" fontId="2" fillId="33" borderId="18" xfId="0" applyFont="1" applyFill="1" applyBorder="1" applyAlignment="1">
      <alignment horizontal="center" vertical="top" wrapText="1"/>
    </xf>
    <xf numFmtId="0" fontId="2" fillId="33" borderId="19"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0" borderId="10" xfId="0" applyFont="1" applyBorder="1" applyAlignment="1">
      <alignment vertical="top" wrapText="1"/>
    </xf>
    <xf numFmtId="0" fontId="2" fillId="0" borderId="18" xfId="0" applyFont="1" applyBorder="1" applyAlignment="1">
      <alignment vertical="top" wrapText="1"/>
    </xf>
    <xf numFmtId="0" fontId="2" fillId="0" borderId="12" xfId="0" applyFont="1" applyBorder="1" applyAlignment="1">
      <alignment vertical="top" wrapText="1"/>
    </xf>
    <xf numFmtId="0" fontId="2" fillId="0" borderId="18" xfId="0" applyFont="1" applyFill="1" applyBorder="1" applyAlignment="1">
      <alignment vertical="top" wrapText="1"/>
    </xf>
    <xf numFmtId="0" fontId="2" fillId="0" borderId="19" xfId="0" applyFont="1" applyBorder="1" applyAlignment="1">
      <alignment vertical="top" wrapText="1"/>
    </xf>
    <xf numFmtId="0" fontId="2" fillId="0" borderId="10" xfId="0" applyFont="1" applyFill="1" applyBorder="1" applyAlignment="1">
      <alignment vertical="top" wrapText="1"/>
    </xf>
    <xf numFmtId="0" fontId="2" fillId="33" borderId="10" xfId="0" applyFont="1" applyFill="1" applyBorder="1" applyAlignment="1">
      <alignment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073;&#1102;&#1076;&#1078;&#1077;&#1090;&#1085;&#1099;&#1081;_&#1086;&#1090;&#1076;&#1077;&#1083;\&#1054;&#1090;&#1095;&#1077;&#1090;&#1099;\&#1056;&#1077;&#1077;&#1089;&#1090;&#1088;&#1056;&#1054;\&#1041;&#1083;&#1072;&#1085;&#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20125000</v>
          </cell>
        </row>
        <row r="31">
          <cell r="A31">
            <v>20126000</v>
          </cell>
        </row>
        <row r="32">
          <cell r="A32">
            <v>20127000</v>
          </cell>
        </row>
        <row r="33">
          <cell r="A33">
            <v>20128000</v>
          </cell>
        </row>
        <row r="34">
          <cell r="A34">
            <v>20129000</v>
          </cell>
        </row>
        <row r="35">
          <cell r="A35">
            <v>20130000</v>
          </cell>
        </row>
        <row r="36">
          <cell r="A36">
            <v>20131000</v>
          </cell>
        </row>
        <row r="37">
          <cell r="A37">
            <v>20132000</v>
          </cell>
        </row>
        <row r="38">
          <cell r="A38">
            <v>20133000</v>
          </cell>
        </row>
        <row r="39">
          <cell r="A39">
            <v>20134000</v>
          </cell>
        </row>
        <row r="40">
          <cell r="A40">
            <v>20135000</v>
          </cell>
        </row>
        <row r="41">
          <cell r="A41">
            <v>20136000</v>
          </cell>
        </row>
        <row r="42">
          <cell r="A42">
            <v>20137000</v>
          </cell>
        </row>
        <row r="43">
          <cell r="A43">
            <v>20138000</v>
          </cell>
        </row>
        <row r="44">
          <cell r="A44">
            <v>20139000</v>
          </cell>
        </row>
        <row r="45">
          <cell r="A45">
            <v>20140000</v>
          </cell>
        </row>
        <row r="46">
          <cell r="A46">
            <v>20141000</v>
          </cell>
        </row>
        <row r="47">
          <cell r="A47">
            <v>20142000</v>
          </cell>
        </row>
        <row r="48">
          <cell r="A48">
            <v>20200000</v>
          </cell>
        </row>
        <row r="49">
          <cell r="A49">
            <v>20300000</v>
          </cell>
        </row>
        <row r="50">
          <cell r="A50">
            <v>20400000</v>
          </cell>
        </row>
        <row r="51">
          <cell r="A51">
            <v>30000000</v>
          </cell>
        </row>
        <row r="52">
          <cell r="A52">
            <v>30100000</v>
          </cell>
        </row>
        <row r="53">
          <cell r="A53">
            <v>30101000</v>
          </cell>
        </row>
        <row r="54">
          <cell r="A54">
            <v>30102000</v>
          </cell>
        </row>
        <row r="55">
          <cell r="A55">
            <v>30103000</v>
          </cell>
        </row>
        <row r="56">
          <cell r="A56">
            <v>30104000</v>
          </cell>
        </row>
        <row r="57">
          <cell r="A57">
            <v>30105000</v>
          </cell>
        </row>
        <row r="58">
          <cell r="A58">
            <v>30106000</v>
          </cell>
        </row>
        <row r="59">
          <cell r="A59">
            <v>30107000</v>
          </cell>
        </row>
        <row r="60">
          <cell r="A60">
            <v>30108000</v>
          </cell>
        </row>
        <row r="61">
          <cell r="A61">
            <v>30109000</v>
          </cell>
        </row>
        <row r="62">
          <cell r="A62">
            <v>30110000</v>
          </cell>
        </row>
        <row r="63">
          <cell r="A63">
            <v>30111000</v>
          </cell>
        </row>
        <row r="64">
          <cell r="A64">
            <v>30112000</v>
          </cell>
        </row>
        <row r="65">
          <cell r="A65">
            <v>30113000</v>
          </cell>
        </row>
        <row r="66">
          <cell r="A66">
            <v>30114000</v>
          </cell>
        </row>
        <row r="67">
          <cell r="A67">
            <v>30115000</v>
          </cell>
        </row>
        <row r="68">
          <cell r="A68">
            <v>30116000</v>
          </cell>
        </row>
        <row r="69">
          <cell r="A69">
            <v>30117000</v>
          </cell>
        </row>
        <row r="70">
          <cell r="A70">
            <v>30118000</v>
          </cell>
        </row>
        <row r="71">
          <cell r="A71">
            <v>30119000</v>
          </cell>
        </row>
        <row r="72">
          <cell r="A72">
            <v>30120000</v>
          </cell>
        </row>
        <row r="73">
          <cell r="A73">
            <v>30121000</v>
          </cell>
        </row>
        <row r="74">
          <cell r="A74">
            <v>30122000</v>
          </cell>
        </row>
        <row r="75">
          <cell r="A75">
            <v>30123000</v>
          </cell>
        </row>
        <row r="76">
          <cell r="A76">
            <v>30124000</v>
          </cell>
        </row>
        <row r="77">
          <cell r="A77">
            <v>30125000</v>
          </cell>
        </row>
        <row r="78">
          <cell r="A78">
            <v>30126000</v>
          </cell>
        </row>
        <row r="79">
          <cell r="A79">
            <v>30127000</v>
          </cell>
        </row>
        <row r="80">
          <cell r="A80">
            <v>30128000</v>
          </cell>
        </row>
        <row r="81">
          <cell r="A81">
            <v>30129000</v>
          </cell>
        </row>
        <row r="82">
          <cell r="A82">
            <v>30130000</v>
          </cell>
        </row>
        <row r="83">
          <cell r="A83">
            <v>30131000</v>
          </cell>
        </row>
        <row r="84">
          <cell r="A84">
            <v>30132000</v>
          </cell>
        </row>
        <row r="85">
          <cell r="A85">
            <v>30133000</v>
          </cell>
        </row>
        <row r="86">
          <cell r="A86">
            <v>30134000</v>
          </cell>
        </row>
        <row r="87">
          <cell r="A87">
            <v>30135000</v>
          </cell>
        </row>
        <row r="88">
          <cell r="A88">
            <v>30136000</v>
          </cell>
        </row>
        <row r="89">
          <cell r="A89">
            <v>30137000</v>
          </cell>
        </row>
        <row r="90">
          <cell r="A90">
            <v>30138000</v>
          </cell>
        </row>
        <row r="91">
          <cell r="A91">
            <v>30139000</v>
          </cell>
        </row>
        <row r="92">
          <cell r="A92">
            <v>30200000</v>
          </cell>
        </row>
        <row r="93">
          <cell r="A93">
            <v>30300000</v>
          </cell>
        </row>
        <row r="94">
          <cell r="A94">
            <v>30400000</v>
          </cell>
        </row>
        <row r="95">
          <cell r="A95">
            <v>40000000</v>
          </cell>
        </row>
        <row r="96">
          <cell r="A96">
            <v>40100000</v>
          </cell>
        </row>
        <row r="97">
          <cell r="A97">
            <v>40101000</v>
          </cell>
        </row>
        <row r="98">
          <cell r="A98">
            <v>40102000</v>
          </cell>
        </row>
        <row r="99">
          <cell r="A99">
            <v>40103000</v>
          </cell>
        </row>
        <row r="100">
          <cell r="A100">
            <v>40104000</v>
          </cell>
        </row>
        <row r="101">
          <cell r="A101">
            <v>40105000</v>
          </cell>
        </row>
        <row r="102">
          <cell r="A102">
            <v>40106000</v>
          </cell>
        </row>
        <row r="103">
          <cell r="A103">
            <v>40107000</v>
          </cell>
        </row>
        <row r="104">
          <cell r="A104">
            <v>40108000</v>
          </cell>
        </row>
        <row r="105">
          <cell r="A105">
            <v>40109000</v>
          </cell>
        </row>
        <row r="106">
          <cell r="A106">
            <v>40110000</v>
          </cell>
        </row>
        <row r="107">
          <cell r="A107">
            <v>40111000</v>
          </cell>
        </row>
        <row r="108">
          <cell r="A108">
            <v>40112000</v>
          </cell>
        </row>
        <row r="109">
          <cell r="A109">
            <v>40113000</v>
          </cell>
        </row>
        <row r="110">
          <cell r="A110">
            <v>40114000</v>
          </cell>
        </row>
        <row r="111">
          <cell r="A111">
            <v>40115000</v>
          </cell>
        </row>
        <row r="112">
          <cell r="A112">
            <v>40116000</v>
          </cell>
        </row>
        <row r="113">
          <cell r="A113">
            <v>40117000</v>
          </cell>
        </row>
        <row r="114">
          <cell r="A114">
            <v>40118000</v>
          </cell>
        </row>
        <row r="115">
          <cell r="A115">
            <v>40119000</v>
          </cell>
        </row>
        <row r="116">
          <cell r="A116">
            <v>40120000</v>
          </cell>
        </row>
        <row r="117">
          <cell r="A117">
            <v>40121000</v>
          </cell>
        </row>
        <row r="118">
          <cell r="A118">
            <v>40122000</v>
          </cell>
        </row>
        <row r="119">
          <cell r="A119">
            <v>40123000</v>
          </cell>
        </row>
        <row r="120">
          <cell r="A120">
            <v>40124000</v>
          </cell>
        </row>
        <row r="121">
          <cell r="A121">
            <v>40125000</v>
          </cell>
        </row>
        <row r="122">
          <cell r="A122">
            <v>40126000</v>
          </cell>
        </row>
        <row r="123">
          <cell r="A123">
            <v>40127000</v>
          </cell>
        </row>
        <row r="124">
          <cell r="A124">
            <v>40128000</v>
          </cell>
        </row>
        <row r="125">
          <cell r="A125">
            <v>40129000</v>
          </cell>
        </row>
        <row r="126">
          <cell r="A126">
            <v>40130000</v>
          </cell>
        </row>
        <row r="127">
          <cell r="A127">
            <v>40131000</v>
          </cell>
        </row>
        <row r="128">
          <cell r="A128">
            <v>40132000</v>
          </cell>
        </row>
        <row r="129">
          <cell r="A129">
            <v>40133000</v>
          </cell>
        </row>
        <row r="130">
          <cell r="A130">
            <v>40134000</v>
          </cell>
        </row>
        <row r="131">
          <cell r="A131">
            <v>40135000</v>
          </cell>
        </row>
        <row r="132">
          <cell r="A132">
            <v>40136000</v>
          </cell>
        </row>
        <row r="133">
          <cell r="A133">
            <v>40137000</v>
          </cell>
        </row>
        <row r="134">
          <cell r="A134">
            <v>40138000</v>
          </cell>
        </row>
        <row r="135">
          <cell r="A135">
            <v>40139000</v>
          </cell>
        </row>
        <row r="136">
          <cell r="A136">
            <v>40140000</v>
          </cell>
        </row>
        <row r="137">
          <cell r="A137">
            <v>40141000</v>
          </cell>
        </row>
        <row r="138">
          <cell r="A138">
            <v>40142000</v>
          </cell>
        </row>
        <row r="139">
          <cell r="A139">
            <v>40143000</v>
          </cell>
        </row>
        <row r="140">
          <cell r="A140">
            <v>40144000</v>
          </cell>
        </row>
        <row r="141">
          <cell r="A141">
            <v>40145000</v>
          </cell>
        </row>
        <row r="142">
          <cell r="A142">
            <v>40146000</v>
          </cell>
        </row>
        <row r="143">
          <cell r="A143">
            <v>40200000</v>
          </cell>
        </row>
        <row r="144">
          <cell r="A144">
            <v>40300000</v>
          </cell>
        </row>
        <row r="145">
          <cell r="A145">
            <v>40400000</v>
          </cell>
        </row>
      </sheetData>
      <sheetData sheetId="1">
        <row r="3">
          <cell r="A3">
            <v>100</v>
          </cell>
        </row>
        <row r="4">
          <cell r="A4">
            <v>101</v>
          </cell>
        </row>
        <row r="5">
          <cell r="A5">
            <v>102</v>
          </cell>
        </row>
        <row r="6">
          <cell r="A6">
            <v>105</v>
          </cell>
        </row>
        <row r="7">
          <cell r="A7">
            <v>106</v>
          </cell>
        </row>
        <row r="8">
          <cell r="A8">
            <v>107</v>
          </cell>
        </row>
        <row r="9">
          <cell r="A9">
            <v>200</v>
          </cell>
        </row>
        <row r="10">
          <cell r="A10">
            <v>201</v>
          </cell>
        </row>
        <row r="11">
          <cell r="A11">
            <v>202</v>
          </cell>
        </row>
        <row r="12">
          <cell r="A12">
            <v>203</v>
          </cell>
        </row>
        <row r="13">
          <cell r="A13">
            <v>204</v>
          </cell>
        </row>
        <row r="14">
          <cell r="A14">
            <v>205</v>
          </cell>
        </row>
        <row r="15">
          <cell r="A15">
            <v>206</v>
          </cell>
        </row>
        <row r="16">
          <cell r="A16">
            <v>207</v>
          </cell>
        </row>
        <row r="17">
          <cell r="A17">
            <v>208</v>
          </cell>
        </row>
        <row r="18">
          <cell r="A18">
            <v>209</v>
          </cell>
        </row>
        <row r="19">
          <cell r="A19">
            <v>300</v>
          </cell>
        </row>
        <row r="20">
          <cell r="A20">
            <v>301</v>
          </cell>
        </row>
        <row r="21">
          <cell r="A21">
            <v>302</v>
          </cell>
        </row>
        <row r="22">
          <cell r="A22">
            <v>303</v>
          </cell>
        </row>
        <row r="23">
          <cell r="A23">
            <v>304</v>
          </cell>
        </row>
        <row r="24">
          <cell r="A24">
            <v>305</v>
          </cell>
        </row>
        <row r="25">
          <cell r="A25">
            <v>306</v>
          </cell>
        </row>
        <row r="26">
          <cell r="A26">
            <v>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
  <sheetViews>
    <sheetView zoomScalePageLayoutView="0" workbookViewId="0" topLeftCell="A1">
      <selection activeCell="K22" sqref="K22"/>
    </sheetView>
  </sheetViews>
  <sheetFormatPr defaultColWidth="9.00390625" defaultRowHeight="12.75"/>
  <sheetData>
    <row r="1" spans="1:20" ht="12.75">
      <c r="A1" s="116" t="s">
        <v>12</v>
      </c>
      <c r="B1" s="116"/>
      <c r="C1" s="116"/>
      <c r="D1" s="116"/>
      <c r="E1" s="116"/>
      <c r="F1" s="116"/>
      <c r="G1" s="116"/>
      <c r="H1" s="116"/>
      <c r="I1" s="116"/>
      <c r="J1" s="116"/>
      <c r="K1" s="116"/>
      <c r="L1" s="116"/>
      <c r="M1" s="116"/>
      <c r="N1" s="116"/>
      <c r="O1" s="116"/>
      <c r="P1" s="116"/>
      <c r="Q1" s="116"/>
      <c r="R1" s="116"/>
      <c r="S1" s="116"/>
      <c r="T1" s="116"/>
    </row>
    <row r="2" spans="1:20" ht="12.75">
      <c r="A2" s="116" t="s">
        <v>19</v>
      </c>
      <c r="B2" s="116"/>
      <c r="C2" s="116"/>
      <c r="D2" s="116"/>
      <c r="E2" s="116"/>
      <c r="F2" s="116"/>
      <c r="G2" s="116"/>
      <c r="H2" s="116"/>
      <c r="I2" s="116"/>
      <c r="J2" s="116"/>
      <c r="K2" s="116"/>
      <c r="L2" s="116"/>
      <c r="M2" s="116"/>
      <c r="N2" s="116"/>
      <c r="O2" s="116"/>
      <c r="P2" s="116"/>
      <c r="Q2" s="116"/>
      <c r="R2" s="116"/>
      <c r="S2" s="116"/>
      <c r="T2" s="116"/>
    </row>
    <row r="3" spans="1:20" ht="12.75">
      <c r="A3" s="9"/>
      <c r="B3" s="9"/>
      <c r="C3" s="9"/>
      <c r="D3" s="9"/>
      <c r="E3" s="9"/>
      <c r="F3" s="9"/>
      <c r="G3" s="9"/>
      <c r="H3" s="9"/>
      <c r="I3" s="9"/>
      <c r="J3" s="9"/>
      <c r="K3" s="9"/>
      <c r="L3" s="9"/>
      <c r="M3" s="9"/>
      <c r="N3" s="9"/>
      <c r="O3" s="9"/>
      <c r="P3" s="9"/>
      <c r="Q3" s="9"/>
      <c r="R3" s="9"/>
      <c r="S3" s="9"/>
      <c r="T3" s="9"/>
    </row>
    <row r="4" spans="1:20" ht="12.75">
      <c r="A4" s="6" t="s">
        <v>20</v>
      </c>
      <c r="B4" s="9"/>
      <c r="C4" s="9"/>
      <c r="D4" s="9"/>
      <c r="E4" s="7"/>
      <c r="F4" s="7"/>
      <c r="G4" s="7"/>
      <c r="H4" s="7"/>
      <c r="I4" s="7"/>
      <c r="J4" s="7"/>
      <c r="K4" s="7"/>
      <c r="L4" s="7"/>
      <c r="M4" s="7"/>
      <c r="N4" s="9"/>
      <c r="O4" s="9"/>
      <c r="P4" s="9"/>
      <c r="Q4" s="9"/>
      <c r="R4" s="9"/>
      <c r="S4" s="9"/>
      <c r="T4" s="9"/>
    </row>
    <row r="5" spans="1:20" ht="12.75">
      <c r="A5" s="9"/>
      <c r="B5" s="9"/>
      <c r="C5" s="1"/>
      <c r="D5" s="1"/>
      <c r="E5" s="1"/>
      <c r="F5" s="1"/>
      <c r="G5" s="9"/>
      <c r="H5" s="9"/>
      <c r="I5" s="9"/>
      <c r="J5" s="9"/>
      <c r="K5" s="9"/>
      <c r="L5" s="2"/>
      <c r="M5" s="2"/>
      <c r="N5" s="2"/>
      <c r="O5" s="2"/>
      <c r="P5" s="2"/>
      <c r="Q5" s="2"/>
      <c r="R5" s="2"/>
      <c r="S5" s="2"/>
      <c r="T5" s="2"/>
    </row>
    <row r="6" spans="1:20" ht="12.75">
      <c r="A6" s="115" t="s">
        <v>0</v>
      </c>
      <c r="B6" s="115" t="s">
        <v>1</v>
      </c>
      <c r="C6" s="115" t="s">
        <v>2</v>
      </c>
      <c r="D6" s="115" t="s">
        <v>3</v>
      </c>
      <c r="E6" s="115" t="s">
        <v>4</v>
      </c>
      <c r="F6" s="115" t="s">
        <v>5</v>
      </c>
      <c r="G6" s="115" t="s">
        <v>6</v>
      </c>
      <c r="H6" s="115"/>
      <c r="I6" s="115"/>
      <c r="J6" s="115"/>
      <c r="K6" s="115"/>
      <c r="L6" s="115" t="s">
        <v>13</v>
      </c>
      <c r="M6" s="115" t="s">
        <v>7</v>
      </c>
      <c r="N6" s="115"/>
      <c r="O6" s="115"/>
      <c r="P6" s="115"/>
      <c r="Q6" s="115"/>
      <c r="R6" s="115"/>
      <c r="S6" s="115"/>
      <c r="T6" s="115" t="s">
        <v>11</v>
      </c>
    </row>
    <row r="7" spans="1:20" ht="12.75">
      <c r="A7" s="115"/>
      <c r="B7" s="115"/>
      <c r="C7" s="115"/>
      <c r="D7" s="115"/>
      <c r="E7" s="115"/>
      <c r="F7" s="115"/>
      <c r="G7" s="115" t="s">
        <v>14</v>
      </c>
      <c r="H7" s="115" t="s">
        <v>15</v>
      </c>
      <c r="I7" s="115" t="s">
        <v>16</v>
      </c>
      <c r="J7" s="115" t="s">
        <v>17</v>
      </c>
      <c r="K7" s="115" t="s">
        <v>18</v>
      </c>
      <c r="L7" s="115"/>
      <c r="M7" s="115" t="s">
        <v>21</v>
      </c>
      <c r="N7" s="115"/>
      <c r="O7" s="115" t="s">
        <v>22</v>
      </c>
      <c r="P7" s="115"/>
      <c r="Q7" s="115" t="s">
        <v>23</v>
      </c>
      <c r="R7" s="115" t="s">
        <v>10</v>
      </c>
      <c r="S7" s="115"/>
      <c r="T7" s="115"/>
    </row>
    <row r="8" spans="1:20" ht="22.5">
      <c r="A8" s="115"/>
      <c r="B8" s="115"/>
      <c r="C8" s="115"/>
      <c r="D8" s="115"/>
      <c r="E8" s="115"/>
      <c r="F8" s="115"/>
      <c r="G8" s="115"/>
      <c r="H8" s="115"/>
      <c r="I8" s="115"/>
      <c r="J8" s="115"/>
      <c r="K8" s="115"/>
      <c r="L8" s="115"/>
      <c r="M8" s="5" t="s">
        <v>8</v>
      </c>
      <c r="N8" s="5" t="s">
        <v>9</v>
      </c>
      <c r="O8" s="5" t="s">
        <v>8</v>
      </c>
      <c r="P8" s="5" t="s">
        <v>9</v>
      </c>
      <c r="Q8" s="115"/>
      <c r="R8" s="8" t="s">
        <v>24</v>
      </c>
      <c r="S8" s="8" t="s">
        <v>25</v>
      </c>
      <c r="T8" s="115"/>
    </row>
    <row r="9" spans="1:20" ht="12.75">
      <c r="A9" s="3">
        <v>1</v>
      </c>
      <c r="B9" s="3">
        <v>2</v>
      </c>
      <c r="C9" s="4">
        <v>3</v>
      </c>
      <c r="D9" s="4">
        <v>4</v>
      </c>
      <c r="E9" s="4">
        <v>5</v>
      </c>
      <c r="F9" s="4">
        <v>6</v>
      </c>
      <c r="G9" s="3">
        <v>7</v>
      </c>
      <c r="H9" s="3">
        <v>8</v>
      </c>
      <c r="I9" s="3">
        <v>9</v>
      </c>
      <c r="J9" s="3">
        <v>10</v>
      </c>
      <c r="K9" s="3">
        <v>11</v>
      </c>
      <c r="L9" s="3">
        <v>12</v>
      </c>
      <c r="M9" s="3">
        <v>13</v>
      </c>
      <c r="N9" s="3">
        <v>14</v>
      </c>
      <c r="O9" s="3">
        <v>15</v>
      </c>
      <c r="P9" s="3">
        <v>16</v>
      </c>
      <c r="Q9" s="3">
        <v>17</v>
      </c>
      <c r="R9" s="3">
        <v>18</v>
      </c>
      <c r="S9" s="3">
        <v>19</v>
      </c>
      <c r="T9" s="3">
        <v>20</v>
      </c>
    </row>
  </sheetData>
  <sheetProtection/>
  <mergeCells count="21">
    <mergeCell ref="A1:T1"/>
    <mergeCell ref="A2:T2"/>
    <mergeCell ref="A6:A8"/>
    <mergeCell ref="B6:B8"/>
    <mergeCell ref="C6:C8"/>
    <mergeCell ref="D6:D8"/>
    <mergeCell ref="E6:E8"/>
    <mergeCell ref="F6:F8"/>
    <mergeCell ref="G6:K6"/>
    <mergeCell ref="L6:L8"/>
    <mergeCell ref="R7:S7"/>
    <mergeCell ref="M6:S6"/>
    <mergeCell ref="T6:T8"/>
    <mergeCell ref="G7:G8"/>
    <mergeCell ref="H7:H8"/>
    <mergeCell ref="I7:I8"/>
    <mergeCell ref="J7:J8"/>
    <mergeCell ref="K7:K8"/>
    <mergeCell ref="M7:N7"/>
    <mergeCell ref="O7:P7"/>
    <mergeCell ref="Q7:Q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U443"/>
  <sheetViews>
    <sheetView tabSelected="1" zoomScale="82" zoomScaleNormal="82"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3" sqref="A3"/>
    </sheetView>
  </sheetViews>
  <sheetFormatPr defaultColWidth="8.875" defaultRowHeight="12.75"/>
  <cols>
    <col min="1" max="1" width="9.25390625" style="52" customWidth="1"/>
    <col min="2" max="2" width="11.75390625" style="52" customWidth="1"/>
    <col min="3" max="3" width="71.25390625" style="52" customWidth="1"/>
    <col min="4" max="4" width="33.125" style="52" customWidth="1"/>
    <col min="5" max="5" width="10.75390625" style="52" customWidth="1"/>
    <col min="6" max="6" width="11.00390625" style="52" customWidth="1"/>
    <col min="7" max="7" width="10.25390625" style="52" customWidth="1"/>
    <col min="8" max="8" width="10.75390625" style="52" customWidth="1"/>
    <col min="9" max="9" width="10.625" style="52" customWidth="1"/>
    <col min="10" max="10" width="10.375" style="52" customWidth="1"/>
    <col min="11" max="11" width="10.125" style="52" customWidth="1"/>
    <col min="12" max="12" width="14.00390625" style="52" customWidth="1"/>
    <col min="13" max="13" width="14.625" style="52" customWidth="1"/>
    <col min="14" max="14" width="11.375" style="52" customWidth="1"/>
    <col min="15" max="15" width="11.625" style="52" customWidth="1"/>
    <col min="16" max="16" width="12.25390625" style="52" customWidth="1"/>
    <col min="17" max="17" width="12.875" style="52" customWidth="1"/>
    <col min="18" max="18" width="13.875" style="52" customWidth="1"/>
    <col min="19" max="19" width="11.625" style="52" customWidth="1"/>
    <col min="20" max="20" width="11.25390625" style="52" customWidth="1"/>
    <col min="21" max="21" width="9.25390625" style="52" customWidth="1"/>
    <col min="22" max="16384" width="8.875" style="52" customWidth="1"/>
  </cols>
  <sheetData>
    <row r="1" spans="1:20" ht="11.25">
      <c r="A1" s="136" t="s">
        <v>12</v>
      </c>
      <c r="B1" s="136"/>
      <c r="C1" s="136"/>
      <c r="D1" s="136"/>
      <c r="E1" s="136"/>
      <c r="F1" s="136"/>
      <c r="G1" s="136"/>
      <c r="H1" s="136"/>
      <c r="I1" s="136"/>
      <c r="J1" s="136"/>
      <c r="K1" s="136"/>
      <c r="L1" s="136"/>
      <c r="M1" s="136"/>
      <c r="N1" s="136"/>
      <c r="O1" s="136"/>
      <c r="P1" s="136"/>
      <c r="Q1" s="136"/>
      <c r="R1" s="136"/>
      <c r="S1" s="136"/>
      <c r="T1" s="136"/>
    </row>
    <row r="2" spans="1:20" ht="11.25">
      <c r="A2" s="136" t="s">
        <v>443</v>
      </c>
      <c r="B2" s="136"/>
      <c r="C2" s="136"/>
      <c r="D2" s="136"/>
      <c r="E2" s="136"/>
      <c r="F2" s="136"/>
      <c r="G2" s="136"/>
      <c r="H2" s="136"/>
      <c r="I2" s="136"/>
      <c r="J2" s="136"/>
      <c r="K2" s="136"/>
      <c r="L2" s="136"/>
      <c r="M2" s="136"/>
      <c r="N2" s="136"/>
      <c r="O2" s="136"/>
      <c r="P2" s="136"/>
      <c r="Q2" s="136"/>
      <c r="R2" s="136"/>
      <c r="S2" s="136"/>
      <c r="T2" s="136"/>
    </row>
    <row r="3" spans="1:20" ht="11.25">
      <c r="A3" s="53"/>
      <c r="B3" s="53"/>
      <c r="C3" s="53"/>
      <c r="D3" s="53"/>
      <c r="E3" s="53"/>
      <c r="F3" s="53"/>
      <c r="G3" s="53"/>
      <c r="H3" s="53"/>
      <c r="I3" s="53"/>
      <c r="J3" s="53"/>
      <c r="K3" s="53"/>
      <c r="L3" s="53"/>
      <c r="M3" s="53"/>
      <c r="N3" s="53"/>
      <c r="O3" s="53"/>
      <c r="P3" s="53"/>
      <c r="Q3" s="53"/>
      <c r="R3" s="53"/>
      <c r="S3" s="53"/>
      <c r="T3" s="53"/>
    </row>
    <row r="4" spans="1:20" ht="11.25">
      <c r="A4" s="54"/>
      <c r="B4" s="53"/>
      <c r="C4" s="53"/>
      <c r="D4" s="53"/>
      <c r="E4" s="55"/>
      <c r="F4" s="55"/>
      <c r="G4" s="55"/>
      <c r="H4" s="55"/>
      <c r="I4" s="55"/>
      <c r="J4" s="55"/>
      <c r="K4" s="55"/>
      <c r="L4" s="55"/>
      <c r="M4" s="55"/>
      <c r="N4" s="53"/>
      <c r="O4" s="53"/>
      <c r="P4" s="53"/>
      <c r="Q4" s="53"/>
      <c r="R4" s="53"/>
      <c r="S4" s="53"/>
      <c r="T4" s="53"/>
    </row>
    <row r="5" spans="1:11" ht="11.25">
      <c r="A5" s="53"/>
      <c r="B5" s="53"/>
      <c r="C5" s="56"/>
      <c r="D5" s="56"/>
      <c r="E5" s="56"/>
      <c r="F5" s="56"/>
      <c r="G5" s="53"/>
      <c r="H5" s="53"/>
      <c r="I5" s="53"/>
      <c r="J5" s="53"/>
      <c r="K5" s="53"/>
    </row>
    <row r="6" spans="1:20" ht="18" customHeight="1">
      <c r="A6" s="115" t="s">
        <v>0</v>
      </c>
      <c r="B6" s="115" t="s">
        <v>1</v>
      </c>
      <c r="C6" s="115" t="s">
        <v>2</v>
      </c>
      <c r="D6" s="115" t="s">
        <v>3</v>
      </c>
      <c r="E6" s="115" t="s">
        <v>4</v>
      </c>
      <c r="F6" s="115" t="s">
        <v>5</v>
      </c>
      <c r="G6" s="115" t="s">
        <v>6</v>
      </c>
      <c r="H6" s="115"/>
      <c r="I6" s="115"/>
      <c r="J6" s="115"/>
      <c r="K6" s="115"/>
      <c r="L6" s="115" t="s">
        <v>13</v>
      </c>
      <c r="M6" s="115" t="s">
        <v>7</v>
      </c>
      <c r="N6" s="115"/>
      <c r="O6" s="115"/>
      <c r="P6" s="115"/>
      <c r="Q6" s="115"/>
      <c r="R6" s="115"/>
      <c r="S6" s="115"/>
      <c r="T6" s="115" t="s">
        <v>11</v>
      </c>
    </row>
    <row r="7" spans="1:20" ht="24" customHeight="1">
      <c r="A7" s="115"/>
      <c r="B7" s="115"/>
      <c r="C7" s="115"/>
      <c r="D7" s="115"/>
      <c r="E7" s="115"/>
      <c r="F7" s="115"/>
      <c r="G7" s="115" t="s">
        <v>14</v>
      </c>
      <c r="H7" s="115" t="s">
        <v>15</v>
      </c>
      <c r="I7" s="115" t="s">
        <v>16</v>
      </c>
      <c r="J7" s="115" t="s">
        <v>17</v>
      </c>
      <c r="K7" s="115" t="s">
        <v>18</v>
      </c>
      <c r="L7" s="115"/>
      <c r="M7" s="115" t="s">
        <v>21</v>
      </c>
      <c r="N7" s="115"/>
      <c r="O7" s="115" t="s">
        <v>22</v>
      </c>
      <c r="P7" s="115"/>
      <c r="Q7" s="115" t="s">
        <v>23</v>
      </c>
      <c r="R7" s="115" t="s">
        <v>10</v>
      </c>
      <c r="S7" s="115"/>
      <c r="T7" s="115"/>
    </row>
    <row r="8" spans="1:20" ht="69" customHeight="1">
      <c r="A8" s="115"/>
      <c r="B8" s="115"/>
      <c r="C8" s="115"/>
      <c r="D8" s="115"/>
      <c r="E8" s="115"/>
      <c r="F8" s="115"/>
      <c r="G8" s="115"/>
      <c r="H8" s="115"/>
      <c r="I8" s="115"/>
      <c r="J8" s="115"/>
      <c r="K8" s="115"/>
      <c r="L8" s="115"/>
      <c r="M8" s="5" t="s">
        <v>8</v>
      </c>
      <c r="N8" s="5" t="s">
        <v>9</v>
      </c>
      <c r="O8" s="5" t="s">
        <v>8</v>
      </c>
      <c r="P8" s="5" t="s">
        <v>9</v>
      </c>
      <c r="Q8" s="115"/>
      <c r="R8" s="40" t="s">
        <v>24</v>
      </c>
      <c r="S8" s="40" t="s">
        <v>25</v>
      </c>
      <c r="T8" s="115"/>
    </row>
    <row r="9" spans="1:20" ht="11.25">
      <c r="A9" s="19">
        <v>1</v>
      </c>
      <c r="B9" s="19">
        <v>2</v>
      </c>
      <c r="C9" s="57">
        <v>3</v>
      </c>
      <c r="D9" s="57">
        <v>4</v>
      </c>
      <c r="E9" s="57">
        <v>5</v>
      </c>
      <c r="F9" s="57">
        <v>6</v>
      </c>
      <c r="G9" s="19">
        <v>7</v>
      </c>
      <c r="H9" s="19">
        <v>8</v>
      </c>
      <c r="I9" s="19">
        <v>9</v>
      </c>
      <c r="J9" s="19">
        <v>10</v>
      </c>
      <c r="K9" s="19">
        <v>11</v>
      </c>
      <c r="L9" s="19">
        <v>12</v>
      </c>
      <c r="M9" s="19">
        <v>13</v>
      </c>
      <c r="N9" s="19">
        <v>14</v>
      </c>
      <c r="O9" s="19">
        <v>15</v>
      </c>
      <c r="P9" s="19">
        <v>16</v>
      </c>
      <c r="Q9" s="19">
        <v>17</v>
      </c>
      <c r="R9" s="19">
        <v>18</v>
      </c>
      <c r="S9" s="19">
        <v>19</v>
      </c>
      <c r="T9" s="19">
        <v>20</v>
      </c>
    </row>
    <row r="10" spans="1:20" ht="30" customHeight="1">
      <c r="A10" s="58" t="s">
        <v>26</v>
      </c>
      <c r="B10" s="59" t="s">
        <v>27</v>
      </c>
      <c r="C10" s="41" t="s">
        <v>28</v>
      </c>
      <c r="D10" s="148" t="s">
        <v>29</v>
      </c>
      <c r="E10" s="10"/>
      <c r="F10" s="10"/>
      <c r="G10" s="60" t="s">
        <v>149</v>
      </c>
      <c r="H10" s="60" t="s">
        <v>150</v>
      </c>
      <c r="I10" s="60" t="s">
        <v>30</v>
      </c>
      <c r="J10" s="60" t="s">
        <v>31</v>
      </c>
      <c r="K10" s="16" t="s">
        <v>32</v>
      </c>
      <c r="L10" s="61"/>
      <c r="M10" s="62">
        <f>20000/1000</f>
        <v>20</v>
      </c>
      <c r="N10" s="62">
        <f>20000/1000</f>
        <v>20</v>
      </c>
      <c r="O10" s="61"/>
      <c r="P10" s="61"/>
      <c r="Q10" s="63"/>
      <c r="R10" s="63"/>
      <c r="S10" s="63"/>
      <c r="T10" s="19">
        <v>300</v>
      </c>
    </row>
    <row r="11" spans="1:20" ht="32.25" customHeight="1">
      <c r="A11" s="58" t="s">
        <v>26</v>
      </c>
      <c r="B11" s="59" t="s">
        <v>27</v>
      </c>
      <c r="C11" s="41" t="s">
        <v>28</v>
      </c>
      <c r="D11" s="149"/>
      <c r="E11" s="10"/>
      <c r="F11" s="10"/>
      <c r="G11" s="60" t="s">
        <v>149</v>
      </c>
      <c r="H11" s="60" t="s">
        <v>150</v>
      </c>
      <c r="I11" s="60" t="s">
        <v>33</v>
      </c>
      <c r="J11" s="60" t="s">
        <v>31</v>
      </c>
      <c r="K11" s="60" t="s">
        <v>32</v>
      </c>
      <c r="L11" s="61"/>
      <c r="M11" s="62">
        <f>10000/1000</f>
        <v>10</v>
      </c>
      <c r="N11" s="62">
        <f>9913.5/1000</f>
        <v>9.9135</v>
      </c>
      <c r="O11" s="61"/>
      <c r="P11" s="61"/>
      <c r="Q11" s="63"/>
      <c r="R11" s="63"/>
      <c r="S11" s="63"/>
      <c r="T11" s="19">
        <v>300</v>
      </c>
    </row>
    <row r="12" spans="1:20" ht="31.5" customHeight="1">
      <c r="A12" s="58" t="s">
        <v>26</v>
      </c>
      <c r="B12" s="59" t="s">
        <v>27</v>
      </c>
      <c r="C12" s="41" t="s">
        <v>28</v>
      </c>
      <c r="D12" s="147"/>
      <c r="E12" s="10"/>
      <c r="F12" s="10"/>
      <c r="G12" s="60" t="s">
        <v>149</v>
      </c>
      <c r="H12" s="60" t="s">
        <v>150</v>
      </c>
      <c r="I12" s="60" t="s">
        <v>33</v>
      </c>
      <c r="J12" s="60" t="s">
        <v>31</v>
      </c>
      <c r="K12" s="16" t="s">
        <v>34</v>
      </c>
      <c r="L12" s="62"/>
      <c r="M12" s="62">
        <f>5000/1000</f>
        <v>5</v>
      </c>
      <c r="N12" s="62">
        <f>5000/1000</f>
        <v>5</v>
      </c>
      <c r="O12" s="62"/>
      <c r="P12" s="62"/>
      <c r="Q12" s="63"/>
      <c r="R12" s="63"/>
      <c r="S12" s="63"/>
      <c r="T12" s="19">
        <v>300</v>
      </c>
    </row>
    <row r="13" spans="1:20" ht="56.25">
      <c r="A13" s="58" t="s">
        <v>26</v>
      </c>
      <c r="B13" s="59" t="s">
        <v>27</v>
      </c>
      <c r="C13" s="41" t="s">
        <v>28</v>
      </c>
      <c r="D13" s="64" t="s">
        <v>35</v>
      </c>
      <c r="E13" s="10" t="s">
        <v>36</v>
      </c>
      <c r="F13" s="13">
        <v>40660</v>
      </c>
      <c r="G13" s="16" t="s">
        <v>149</v>
      </c>
      <c r="H13" s="16" t="s">
        <v>150</v>
      </c>
      <c r="I13" s="16" t="s">
        <v>37</v>
      </c>
      <c r="J13" s="16" t="s">
        <v>38</v>
      </c>
      <c r="K13" s="16" t="s">
        <v>39</v>
      </c>
      <c r="L13" s="62"/>
      <c r="M13" s="62">
        <f>41885.17/1000</f>
        <v>41.885169999999995</v>
      </c>
      <c r="N13" s="62">
        <f>41885.17/1000</f>
        <v>41.885169999999995</v>
      </c>
      <c r="O13" s="62"/>
      <c r="P13" s="62"/>
      <c r="Q13" s="63"/>
      <c r="R13" s="63"/>
      <c r="S13" s="63"/>
      <c r="T13" s="19">
        <v>300</v>
      </c>
    </row>
    <row r="14" spans="1:21" ht="45">
      <c r="A14" s="58" t="s">
        <v>26</v>
      </c>
      <c r="B14" s="59" t="s">
        <v>27</v>
      </c>
      <c r="C14" s="41" t="s">
        <v>28</v>
      </c>
      <c r="D14" s="65" t="s">
        <v>40</v>
      </c>
      <c r="E14" s="15" t="s">
        <v>41</v>
      </c>
      <c r="F14" s="66">
        <v>39735</v>
      </c>
      <c r="G14" s="25" t="s">
        <v>153</v>
      </c>
      <c r="H14" s="25" t="s">
        <v>152</v>
      </c>
      <c r="I14" s="25" t="s">
        <v>42</v>
      </c>
      <c r="J14" s="25" t="s">
        <v>38</v>
      </c>
      <c r="K14" s="25" t="s">
        <v>39</v>
      </c>
      <c r="L14" s="67"/>
      <c r="M14" s="67">
        <f>50000/1000</f>
        <v>50</v>
      </c>
      <c r="N14" s="67">
        <f>50000/1000</f>
        <v>50</v>
      </c>
      <c r="O14" s="67"/>
      <c r="P14" s="68"/>
      <c r="Q14" s="67"/>
      <c r="R14" s="67"/>
      <c r="S14" s="67"/>
      <c r="T14" s="21">
        <v>300</v>
      </c>
      <c r="U14" s="69"/>
    </row>
    <row r="15" spans="1:20" ht="22.5">
      <c r="A15" s="58" t="s">
        <v>26</v>
      </c>
      <c r="B15" s="59" t="s">
        <v>27</v>
      </c>
      <c r="C15" s="41" t="s">
        <v>28</v>
      </c>
      <c r="D15" s="150" t="s">
        <v>49</v>
      </c>
      <c r="E15" s="140" t="s">
        <v>50</v>
      </c>
      <c r="F15" s="13">
        <v>37900</v>
      </c>
      <c r="G15" s="60" t="s">
        <v>157</v>
      </c>
      <c r="H15" s="60" t="s">
        <v>154</v>
      </c>
      <c r="I15" s="60" t="s">
        <v>51</v>
      </c>
      <c r="J15" s="60" t="s">
        <v>31</v>
      </c>
      <c r="K15" s="60" t="s">
        <v>52</v>
      </c>
      <c r="L15" s="62">
        <f>4688781/1000</f>
        <v>4688.781</v>
      </c>
      <c r="M15" s="62">
        <f>4817300/1000</f>
        <v>4817.3</v>
      </c>
      <c r="N15" s="62">
        <f>4817300/1000</f>
        <v>4817.3</v>
      </c>
      <c r="O15" s="62">
        <f>4688781/1000</f>
        <v>4688.781</v>
      </c>
      <c r="P15" s="62">
        <f>1007401.28/1000</f>
        <v>1007.40128</v>
      </c>
      <c r="Q15" s="62">
        <f>(4535500+280000)/1000</f>
        <v>4815.5</v>
      </c>
      <c r="R15" s="62">
        <f>(4535500+280000+56900)/1000</f>
        <v>4872.4</v>
      </c>
      <c r="S15" s="62">
        <f>(4535500+280000+56900)/1000</f>
        <v>4872.4</v>
      </c>
      <c r="T15" s="70">
        <v>300</v>
      </c>
    </row>
    <row r="16" spans="1:20" ht="22.5">
      <c r="A16" s="58" t="s">
        <v>26</v>
      </c>
      <c r="B16" s="59" t="s">
        <v>27</v>
      </c>
      <c r="C16" s="41" t="s">
        <v>28</v>
      </c>
      <c r="D16" s="150"/>
      <c r="E16" s="140"/>
      <c r="F16" s="71"/>
      <c r="G16" s="60" t="s">
        <v>157</v>
      </c>
      <c r="H16" s="60" t="s">
        <v>154</v>
      </c>
      <c r="I16" s="60" t="s">
        <v>51</v>
      </c>
      <c r="J16" s="60" t="s">
        <v>31</v>
      </c>
      <c r="K16" s="60" t="s">
        <v>53</v>
      </c>
      <c r="L16" s="62">
        <f>4300/1000</f>
        <v>4.3</v>
      </c>
      <c r="M16" s="62">
        <f>4369.24/1000</f>
        <v>4.36924</v>
      </c>
      <c r="N16" s="62">
        <f>4369.24/1000</f>
        <v>4.36924</v>
      </c>
      <c r="O16" s="62">
        <f>4300/1000</f>
        <v>4.3</v>
      </c>
      <c r="P16" s="62">
        <f>125/1000</f>
        <v>0.125</v>
      </c>
      <c r="Q16" s="62">
        <f>4100/1000</f>
        <v>4.1</v>
      </c>
      <c r="R16" s="62">
        <f>4100/1000</f>
        <v>4.1</v>
      </c>
      <c r="S16" s="62">
        <f>4100/1000</f>
        <v>4.1</v>
      </c>
      <c r="T16" s="70">
        <v>300</v>
      </c>
    </row>
    <row r="17" spans="1:20" ht="22.5">
      <c r="A17" s="58" t="s">
        <v>26</v>
      </c>
      <c r="B17" s="59" t="s">
        <v>27</v>
      </c>
      <c r="C17" s="41" t="s">
        <v>28</v>
      </c>
      <c r="D17" s="150"/>
      <c r="E17" s="71"/>
      <c r="F17" s="71"/>
      <c r="G17" s="60" t="s">
        <v>157</v>
      </c>
      <c r="H17" s="60" t="s">
        <v>154</v>
      </c>
      <c r="I17" s="60" t="s">
        <v>51</v>
      </c>
      <c r="J17" s="60" t="s">
        <v>31</v>
      </c>
      <c r="K17" s="60" t="s">
        <v>54</v>
      </c>
      <c r="L17" s="62">
        <f>1416012/1000</f>
        <v>1416.012</v>
      </c>
      <c r="M17" s="62">
        <f>1351200/1000</f>
        <v>1351.2</v>
      </c>
      <c r="N17" s="62">
        <f>1351200/1000</f>
        <v>1351.2</v>
      </c>
      <c r="O17" s="62">
        <f>1416012/1000</f>
        <v>1416.012</v>
      </c>
      <c r="P17" s="62">
        <f>302790.21/1000</f>
        <v>302.79021</v>
      </c>
      <c r="Q17" s="62">
        <f>(1351200+83200)/1000</f>
        <v>1434.4</v>
      </c>
      <c r="R17" s="62">
        <f>(1351200+83200)/1000</f>
        <v>1434.4</v>
      </c>
      <c r="S17" s="62">
        <f>(1351200+83200)/1000</f>
        <v>1434.4</v>
      </c>
      <c r="T17" s="70">
        <v>300</v>
      </c>
    </row>
    <row r="18" spans="1:20" ht="22.5">
      <c r="A18" s="58" t="s">
        <v>26</v>
      </c>
      <c r="B18" s="59" t="s">
        <v>27</v>
      </c>
      <c r="C18" s="41" t="s">
        <v>28</v>
      </c>
      <c r="D18" s="150"/>
      <c r="E18" s="71" t="s">
        <v>36</v>
      </c>
      <c r="F18" s="72">
        <v>39423</v>
      </c>
      <c r="G18" s="60" t="s">
        <v>157</v>
      </c>
      <c r="H18" s="60" t="s">
        <v>154</v>
      </c>
      <c r="I18" s="60" t="s">
        <v>51</v>
      </c>
      <c r="J18" s="60" t="s">
        <v>31</v>
      </c>
      <c r="K18" s="60" t="s">
        <v>55</v>
      </c>
      <c r="L18" s="62">
        <f>79900/1000</f>
        <v>79.9</v>
      </c>
      <c r="M18" s="62">
        <f>73900/1000</f>
        <v>73.9</v>
      </c>
      <c r="N18" s="62">
        <f>73896.41/1000</f>
        <v>73.89641</v>
      </c>
      <c r="O18" s="62">
        <f>79900/1000</f>
        <v>79.9</v>
      </c>
      <c r="P18" s="62">
        <f>16396.82/1000</f>
        <v>16.396819999999998</v>
      </c>
      <c r="Q18" s="62">
        <f>102900/1000</f>
        <v>102.9</v>
      </c>
      <c r="R18" s="62">
        <f>102900/1000</f>
        <v>102.9</v>
      </c>
      <c r="S18" s="62">
        <f>102900/1000</f>
        <v>102.9</v>
      </c>
      <c r="T18" s="70">
        <v>300</v>
      </c>
    </row>
    <row r="19" spans="1:20" ht="22.5">
      <c r="A19" s="58" t="s">
        <v>26</v>
      </c>
      <c r="B19" s="59" t="s">
        <v>27</v>
      </c>
      <c r="C19" s="41" t="s">
        <v>28</v>
      </c>
      <c r="D19" s="150"/>
      <c r="E19" s="10"/>
      <c r="F19" s="10"/>
      <c r="G19" s="60" t="s">
        <v>157</v>
      </c>
      <c r="H19" s="60" t="s">
        <v>154</v>
      </c>
      <c r="I19" s="60" t="s">
        <v>51</v>
      </c>
      <c r="J19" s="60" t="s">
        <v>31</v>
      </c>
      <c r="K19" s="60" t="s">
        <v>56</v>
      </c>
      <c r="L19" s="62">
        <f>3000/1000</f>
        <v>3</v>
      </c>
      <c r="M19" s="62">
        <f>1444.6/1000</f>
        <v>1.4445999999999999</v>
      </c>
      <c r="N19" s="62">
        <f>1444.6/1000</f>
        <v>1.4445999999999999</v>
      </c>
      <c r="O19" s="62">
        <f>3000/1000</f>
        <v>3</v>
      </c>
      <c r="P19" s="62">
        <f>2600/1000</f>
        <v>2.6</v>
      </c>
      <c r="Q19" s="62">
        <f>2000/1000</f>
        <v>2</v>
      </c>
      <c r="R19" s="62">
        <f>2000/1000</f>
        <v>2</v>
      </c>
      <c r="S19" s="62">
        <f>2000/1000</f>
        <v>2</v>
      </c>
      <c r="T19" s="70">
        <v>300</v>
      </c>
    </row>
    <row r="20" spans="1:20" ht="22.5">
      <c r="A20" s="58" t="s">
        <v>26</v>
      </c>
      <c r="B20" s="59" t="s">
        <v>27</v>
      </c>
      <c r="C20" s="41" t="s">
        <v>28</v>
      </c>
      <c r="D20" s="150"/>
      <c r="E20" s="71"/>
      <c r="F20" s="71"/>
      <c r="G20" s="60" t="s">
        <v>157</v>
      </c>
      <c r="H20" s="60" t="s">
        <v>154</v>
      </c>
      <c r="I20" s="60" t="s">
        <v>51</v>
      </c>
      <c r="J20" s="60" t="s">
        <v>31</v>
      </c>
      <c r="K20" s="60" t="s">
        <v>57</v>
      </c>
      <c r="L20" s="62">
        <f>160920/1000</f>
        <v>160.92</v>
      </c>
      <c r="M20" s="62">
        <f>160919.29/1000</f>
        <v>160.91929000000002</v>
      </c>
      <c r="N20" s="62">
        <f>133005.32/1000</f>
        <v>133.00532</v>
      </c>
      <c r="O20" s="62">
        <f>160920/1000</f>
        <v>160.92</v>
      </c>
      <c r="P20" s="62"/>
      <c r="Q20" s="62">
        <f>(40958+110707+9254)/1000</f>
        <v>160.919</v>
      </c>
      <c r="R20" s="62">
        <f>(40958+110707+9254)/1000</f>
        <v>160.919</v>
      </c>
      <c r="S20" s="62">
        <f>(40958+110707+9254)/1000</f>
        <v>160.919</v>
      </c>
      <c r="T20" s="70">
        <v>300</v>
      </c>
    </row>
    <row r="21" spans="1:20" ht="22.5">
      <c r="A21" s="58" t="s">
        <v>26</v>
      </c>
      <c r="B21" s="59" t="s">
        <v>27</v>
      </c>
      <c r="C21" s="41" t="s">
        <v>28</v>
      </c>
      <c r="D21" s="150"/>
      <c r="E21" s="71"/>
      <c r="F21" s="71"/>
      <c r="G21" s="60" t="s">
        <v>157</v>
      </c>
      <c r="H21" s="60" t="s">
        <v>154</v>
      </c>
      <c r="I21" s="60" t="s">
        <v>51</v>
      </c>
      <c r="J21" s="60" t="s">
        <v>31</v>
      </c>
      <c r="K21" s="60" t="s">
        <v>58</v>
      </c>
      <c r="L21" s="62">
        <f>65700/1000</f>
        <v>65.7</v>
      </c>
      <c r="M21" s="62">
        <f>65691.12/1000</f>
        <v>65.69112</v>
      </c>
      <c r="N21" s="62">
        <f>65691.12/1000</f>
        <v>65.69112</v>
      </c>
      <c r="O21" s="62">
        <f>65700/1000</f>
        <v>65.7</v>
      </c>
      <c r="P21" s="62">
        <f>6021.54/1000</f>
        <v>6.02154</v>
      </c>
      <c r="Q21" s="62">
        <f>60000/1000</f>
        <v>60</v>
      </c>
      <c r="R21" s="62">
        <f>60000/1000</f>
        <v>60</v>
      </c>
      <c r="S21" s="62">
        <f>60000/1000</f>
        <v>60</v>
      </c>
      <c r="T21" s="70">
        <v>300</v>
      </c>
    </row>
    <row r="22" spans="1:20" ht="22.5">
      <c r="A22" s="58" t="s">
        <v>26</v>
      </c>
      <c r="B22" s="59" t="s">
        <v>27</v>
      </c>
      <c r="C22" s="41" t="s">
        <v>28</v>
      </c>
      <c r="D22" s="150"/>
      <c r="E22" s="71"/>
      <c r="F22" s="71"/>
      <c r="G22" s="60" t="s">
        <v>157</v>
      </c>
      <c r="H22" s="60" t="s">
        <v>154</v>
      </c>
      <c r="I22" s="60" t="s">
        <v>51</v>
      </c>
      <c r="J22" s="60" t="s">
        <v>31</v>
      </c>
      <c r="K22" s="60" t="s">
        <v>59</v>
      </c>
      <c r="L22" s="62">
        <f>260531/1000</f>
        <v>260.531</v>
      </c>
      <c r="M22" s="62">
        <f>249375.47/1000</f>
        <v>249.37547</v>
      </c>
      <c r="N22" s="62">
        <f>249250.52/1000</f>
        <v>249.25052</v>
      </c>
      <c r="O22" s="62">
        <f>260531/1000</f>
        <v>260.531</v>
      </c>
      <c r="P22" s="62">
        <f>5670/1000</f>
        <v>5.67</v>
      </c>
      <c r="Q22" s="62">
        <f>249531/1000</f>
        <v>249.531</v>
      </c>
      <c r="R22" s="62">
        <f>249531/1000</f>
        <v>249.531</v>
      </c>
      <c r="S22" s="62">
        <f>249531/1000</f>
        <v>249.531</v>
      </c>
      <c r="T22" s="70">
        <v>300</v>
      </c>
    </row>
    <row r="23" spans="1:20" ht="22.5">
      <c r="A23" s="58" t="s">
        <v>26</v>
      </c>
      <c r="B23" s="59" t="s">
        <v>27</v>
      </c>
      <c r="C23" s="41" t="s">
        <v>28</v>
      </c>
      <c r="D23" s="150"/>
      <c r="E23" s="71"/>
      <c r="F23" s="71"/>
      <c r="G23" s="60" t="s">
        <v>157</v>
      </c>
      <c r="H23" s="60" t="s">
        <v>154</v>
      </c>
      <c r="I23" s="60" t="s">
        <v>51</v>
      </c>
      <c r="J23" s="60" t="s">
        <v>31</v>
      </c>
      <c r="K23" s="60" t="s">
        <v>60</v>
      </c>
      <c r="L23" s="62">
        <f>485010/1000</f>
        <v>485.01</v>
      </c>
      <c r="M23" s="62">
        <f>470492.08/1000</f>
        <v>470.49208000000004</v>
      </c>
      <c r="N23" s="62">
        <f>462257.15/1000</f>
        <v>462.25715</v>
      </c>
      <c r="O23" s="62">
        <f>485010/1000</f>
        <v>485.01</v>
      </c>
      <c r="P23" s="62">
        <f>24306.07/1000</f>
        <v>24.30607</v>
      </c>
      <c r="Q23" s="62">
        <f>(355200+26000)/1000</f>
        <v>381.2</v>
      </c>
      <c r="R23" s="62">
        <f>(355200+26000)/1000</f>
        <v>381.2</v>
      </c>
      <c r="S23" s="62">
        <f>(355200+26000)/1000</f>
        <v>381.2</v>
      </c>
      <c r="T23" s="70">
        <v>300</v>
      </c>
    </row>
    <row r="24" spans="1:20" ht="22.5">
      <c r="A24" s="58" t="s">
        <v>26</v>
      </c>
      <c r="B24" s="59" t="s">
        <v>27</v>
      </c>
      <c r="C24" s="41" t="s">
        <v>28</v>
      </c>
      <c r="D24" s="150"/>
      <c r="E24" s="71"/>
      <c r="F24" s="71"/>
      <c r="G24" s="60" t="s">
        <v>157</v>
      </c>
      <c r="H24" s="60" t="s">
        <v>154</v>
      </c>
      <c r="I24" s="60" t="s">
        <v>51</v>
      </c>
      <c r="J24" s="60" t="s">
        <v>31</v>
      </c>
      <c r="K24" s="60" t="s">
        <v>32</v>
      </c>
      <c r="L24" s="62">
        <f>435536/1000</f>
        <v>435.536</v>
      </c>
      <c r="M24" s="62">
        <f>147300/1000</f>
        <v>147.3</v>
      </c>
      <c r="N24" s="62">
        <f>145733.13/1000</f>
        <v>145.73313000000002</v>
      </c>
      <c r="O24" s="62">
        <f>435536/1000</f>
        <v>435.536</v>
      </c>
      <c r="P24" s="62">
        <f>38030.4/1000</f>
        <v>38.0304</v>
      </c>
      <c r="Q24" s="62">
        <f>200000/1000</f>
        <v>200</v>
      </c>
      <c r="R24" s="62">
        <f>200000/1000</f>
        <v>200</v>
      </c>
      <c r="S24" s="62">
        <f>200000/1000</f>
        <v>200</v>
      </c>
      <c r="T24" s="70">
        <v>300</v>
      </c>
    </row>
    <row r="25" spans="1:20" ht="22.5">
      <c r="A25" s="58" t="s">
        <v>26</v>
      </c>
      <c r="B25" s="59" t="s">
        <v>27</v>
      </c>
      <c r="C25" s="41" t="s">
        <v>28</v>
      </c>
      <c r="D25" s="150"/>
      <c r="E25" s="71"/>
      <c r="F25" s="71"/>
      <c r="G25" s="60" t="s">
        <v>157</v>
      </c>
      <c r="H25" s="60" t="s">
        <v>154</v>
      </c>
      <c r="I25" s="60" t="s">
        <v>51</v>
      </c>
      <c r="J25" s="60" t="s">
        <v>31</v>
      </c>
      <c r="K25" s="60" t="s">
        <v>34</v>
      </c>
      <c r="L25" s="62">
        <f>272910/1000</f>
        <v>272.91</v>
      </c>
      <c r="M25" s="62">
        <f>2061578.2/1000</f>
        <v>2061.5782</v>
      </c>
      <c r="N25" s="62">
        <f>2056064.85/1000</f>
        <v>2056.06485</v>
      </c>
      <c r="O25" s="62">
        <f>272910/1000</f>
        <v>272.91</v>
      </c>
      <c r="P25" s="62">
        <f>64934.6/1000</f>
        <v>64.9346</v>
      </c>
      <c r="Q25" s="62">
        <f>379450/1000</f>
        <v>379.45</v>
      </c>
      <c r="R25" s="62">
        <f>447450/1000</f>
        <v>447.45</v>
      </c>
      <c r="S25" s="62">
        <f>447450/1000</f>
        <v>447.45</v>
      </c>
      <c r="T25" s="70">
        <v>300</v>
      </c>
    </row>
    <row r="26" spans="1:20" s="69" customFormat="1" ht="26.25" customHeight="1">
      <c r="A26" s="73" t="s">
        <v>26</v>
      </c>
      <c r="B26" s="74" t="s">
        <v>27</v>
      </c>
      <c r="C26" s="41" t="s">
        <v>28</v>
      </c>
      <c r="D26" s="152" t="s">
        <v>98</v>
      </c>
      <c r="E26" s="15" t="s">
        <v>36</v>
      </c>
      <c r="F26" s="66">
        <v>40330</v>
      </c>
      <c r="G26" s="60" t="s">
        <v>157</v>
      </c>
      <c r="H26" s="60" t="s">
        <v>154</v>
      </c>
      <c r="I26" s="25" t="s">
        <v>99</v>
      </c>
      <c r="J26" s="25" t="s">
        <v>73</v>
      </c>
      <c r="K26" s="25" t="s">
        <v>39</v>
      </c>
      <c r="L26" s="67">
        <f>10226600/1000</f>
        <v>10226.6</v>
      </c>
      <c r="M26" s="67">
        <f>10186950/1000</f>
        <v>10186.95</v>
      </c>
      <c r="N26" s="67">
        <f>10186950/1000</f>
        <v>10186.95</v>
      </c>
      <c r="O26" s="67">
        <f>10226600/1000</f>
        <v>10226.6</v>
      </c>
      <c r="P26" s="67">
        <f>2163000/1000</f>
        <v>2163</v>
      </c>
      <c r="Q26" s="67">
        <f>10242000/1000</f>
        <v>10242</v>
      </c>
      <c r="R26" s="67">
        <f>10242000/1000</f>
        <v>10242</v>
      </c>
      <c r="S26" s="67">
        <f>10242000/1000</f>
        <v>10242</v>
      </c>
      <c r="T26" s="21">
        <v>300</v>
      </c>
    </row>
    <row r="27" spans="1:20" s="69" customFormat="1" ht="45" customHeight="1">
      <c r="A27" s="73" t="s">
        <v>26</v>
      </c>
      <c r="B27" s="74" t="s">
        <v>27</v>
      </c>
      <c r="C27" s="41" t="s">
        <v>28</v>
      </c>
      <c r="D27" s="152"/>
      <c r="E27" s="15"/>
      <c r="F27" s="15"/>
      <c r="G27" s="60" t="s">
        <v>157</v>
      </c>
      <c r="H27" s="60" t="s">
        <v>154</v>
      </c>
      <c r="I27" s="25" t="s">
        <v>100</v>
      </c>
      <c r="J27" s="25" t="s">
        <v>31</v>
      </c>
      <c r="K27" s="25" t="s">
        <v>32</v>
      </c>
      <c r="L27" s="67"/>
      <c r="M27" s="67">
        <f>14300/1000</f>
        <v>14.3</v>
      </c>
      <c r="N27" s="67">
        <f>14300/1000</f>
        <v>14.3</v>
      </c>
      <c r="O27" s="67"/>
      <c r="P27" s="67"/>
      <c r="Q27" s="67"/>
      <c r="R27" s="67"/>
      <c r="S27" s="67"/>
      <c r="T27" s="21">
        <v>300</v>
      </c>
    </row>
    <row r="28" spans="1:20" s="69" customFormat="1" ht="51" customHeight="1">
      <c r="A28" s="73" t="s">
        <v>26</v>
      </c>
      <c r="B28" s="74" t="s">
        <v>27</v>
      </c>
      <c r="C28" s="41" t="s">
        <v>28</v>
      </c>
      <c r="D28" s="152"/>
      <c r="E28" s="15"/>
      <c r="F28" s="15"/>
      <c r="G28" s="60" t="s">
        <v>157</v>
      </c>
      <c r="H28" s="60" t="s">
        <v>154</v>
      </c>
      <c r="I28" s="25" t="s">
        <v>100</v>
      </c>
      <c r="J28" s="25" t="s">
        <v>31</v>
      </c>
      <c r="K28" s="25" t="s">
        <v>34</v>
      </c>
      <c r="L28" s="67"/>
      <c r="M28" s="67">
        <f>700/1000</f>
        <v>0.7</v>
      </c>
      <c r="N28" s="67">
        <f>690/1000</f>
        <v>0.69</v>
      </c>
      <c r="O28" s="67"/>
      <c r="P28" s="67"/>
      <c r="Q28" s="67"/>
      <c r="R28" s="67"/>
      <c r="S28" s="67"/>
      <c r="T28" s="21">
        <v>300</v>
      </c>
    </row>
    <row r="29" spans="1:20" s="69" customFormat="1" ht="22.5">
      <c r="A29" s="73" t="s">
        <v>26</v>
      </c>
      <c r="B29" s="74" t="s">
        <v>27</v>
      </c>
      <c r="C29" s="41" t="s">
        <v>28</v>
      </c>
      <c r="D29" s="152"/>
      <c r="E29" s="15"/>
      <c r="F29" s="15"/>
      <c r="G29" s="60" t="s">
        <v>157</v>
      </c>
      <c r="H29" s="60" t="s">
        <v>154</v>
      </c>
      <c r="I29" s="25" t="s">
        <v>78</v>
      </c>
      <c r="J29" s="25" t="s">
        <v>31</v>
      </c>
      <c r="K29" s="25" t="s">
        <v>101</v>
      </c>
      <c r="L29" s="67">
        <f>781000/1000</f>
        <v>781</v>
      </c>
      <c r="M29" s="67">
        <f>200000/1000</f>
        <v>200</v>
      </c>
      <c r="N29" s="67"/>
      <c r="O29" s="67">
        <f>781000/1000</f>
        <v>781</v>
      </c>
      <c r="P29" s="67"/>
      <c r="Q29" s="67"/>
      <c r="R29" s="67"/>
      <c r="S29" s="67"/>
      <c r="T29" s="21">
        <v>300</v>
      </c>
    </row>
    <row r="30" spans="1:20" s="69" customFormat="1" ht="22.5">
      <c r="A30" s="75" t="s">
        <v>26</v>
      </c>
      <c r="B30" s="15" t="s">
        <v>27</v>
      </c>
      <c r="C30" s="41" t="s">
        <v>28</v>
      </c>
      <c r="D30" s="76" t="s">
        <v>147</v>
      </c>
      <c r="E30" s="77"/>
      <c r="F30" s="77"/>
      <c r="G30" s="25" t="s">
        <v>158</v>
      </c>
      <c r="H30" s="25" t="s">
        <v>161</v>
      </c>
      <c r="I30" s="25" t="s">
        <v>148</v>
      </c>
      <c r="J30" s="25" t="s">
        <v>38</v>
      </c>
      <c r="K30" s="25" t="s">
        <v>39</v>
      </c>
      <c r="L30" s="67"/>
      <c r="M30" s="67">
        <f>219636/1000</f>
        <v>219.636</v>
      </c>
      <c r="N30" s="67">
        <f>216756/1000</f>
        <v>216.756</v>
      </c>
      <c r="O30" s="67"/>
      <c r="P30" s="67"/>
      <c r="Q30" s="67"/>
      <c r="R30" s="67"/>
      <c r="S30" s="67"/>
      <c r="T30" s="21">
        <v>300</v>
      </c>
    </row>
    <row r="31" spans="1:20" s="69" customFormat="1" ht="78.75">
      <c r="A31" s="73" t="s">
        <v>26</v>
      </c>
      <c r="B31" s="74" t="s">
        <v>43</v>
      </c>
      <c r="C31" s="41" t="s">
        <v>151</v>
      </c>
      <c r="D31" s="76" t="s">
        <v>44</v>
      </c>
      <c r="E31" s="15" t="s">
        <v>36</v>
      </c>
      <c r="F31" s="66">
        <v>39735</v>
      </c>
      <c r="G31" s="25" t="s">
        <v>155</v>
      </c>
      <c r="H31" s="25" t="s">
        <v>154</v>
      </c>
      <c r="I31" s="25" t="s">
        <v>45</v>
      </c>
      <c r="J31" s="25" t="s">
        <v>31</v>
      </c>
      <c r="K31" s="25" t="s">
        <v>32</v>
      </c>
      <c r="L31" s="67"/>
      <c r="M31" s="67">
        <f>29470/1000</f>
        <v>29.47</v>
      </c>
      <c r="N31" s="67">
        <f>29405/1000</f>
        <v>29.405</v>
      </c>
      <c r="O31" s="67"/>
      <c r="P31" s="67"/>
      <c r="Q31" s="67"/>
      <c r="R31" s="67"/>
      <c r="S31" s="67"/>
      <c r="T31" s="21">
        <v>300</v>
      </c>
    </row>
    <row r="32" spans="1:20" s="69" customFormat="1" ht="69" customHeight="1">
      <c r="A32" s="73" t="s">
        <v>26</v>
      </c>
      <c r="B32" s="78" t="s">
        <v>66</v>
      </c>
      <c r="C32" s="41" t="s">
        <v>159</v>
      </c>
      <c r="D32" s="153" t="s">
        <v>67</v>
      </c>
      <c r="E32" s="15" t="s">
        <v>36</v>
      </c>
      <c r="F32" s="66">
        <v>40909</v>
      </c>
      <c r="G32" s="25" t="s">
        <v>161</v>
      </c>
      <c r="H32" s="25" t="s">
        <v>153</v>
      </c>
      <c r="I32" s="25" t="s">
        <v>68</v>
      </c>
      <c r="J32" s="25" t="s">
        <v>31</v>
      </c>
      <c r="K32" s="25" t="s">
        <v>60</v>
      </c>
      <c r="L32" s="67"/>
      <c r="M32" s="67">
        <f>100000/1000</f>
        <v>100</v>
      </c>
      <c r="N32" s="67">
        <f>100000/1000</f>
        <v>100</v>
      </c>
      <c r="O32" s="67"/>
      <c r="P32" s="67"/>
      <c r="Q32" s="67"/>
      <c r="R32" s="67"/>
      <c r="S32" s="67"/>
      <c r="T32" s="21">
        <v>300</v>
      </c>
    </row>
    <row r="33" spans="1:20" s="69" customFormat="1" ht="11.25">
      <c r="A33" s="73" t="s">
        <v>26</v>
      </c>
      <c r="B33" s="74" t="s">
        <v>66</v>
      </c>
      <c r="C33" s="41" t="s">
        <v>159</v>
      </c>
      <c r="D33" s="153"/>
      <c r="E33" s="15" t="s">
        <v>36</v>
      </c>
      <c r="F33" s="66">
        <v>40909</v>
      </c>
      <c r="G33" s="25" t="s">
        <v>161</v>
      </c>
      <c r="H33" s="25" t="s">
        <v>153</v>
      </c>
      <c r="I33" s="25" t="s">
        <v>68</v>
      </c>
      <c r="J33" s="25" t="s">
        <v>31</v>
      </c>
      <c r="K33" s="25" t="s">
        <v>32</v>
      </c>
      <c r="L33" s="67"/>
      <c r="M33" s="67">
        <f>5000/1000</f>
        <v>5</v>
      </c>
      <c r="N33" s="67">
        <f>5000/1000</f>
        <v>5</v>
      </c>
      <c r="O33" s="67"/>
      <c r="P33" s="67"/>
      <c r="Q33" s="67"/>
      <c r="R33" s="67"/>
      <c r="S33" s="67"/>
      <c r="T33" s="21">
        <v>300</v>
      </c>
    </row>
    <row r="34" spans="1:20" s="69" customFormat="1" ht="78.75">
      <c r="A34" s="73" t="s">
        <v>26</v>
      </c>
      <c r="B34" s="74" t="s">
        <v>46</v>
      </c>
      <c r="C34" s="41" t="s">
        <v>69</v>
      </c>
      <c r="D34" s="65" t="s">
        <v>47</v>
      </c>
      <c r="E34" s="15" t="s">
        <v>36</v>
      </c>
      <c r="F34" s="66">
        <v>40170</v>
      </c>
      <c r="G34" s="25" t="s">
        <v>157</v>
      </c>
      <c r="H34" s="25" t="s">
        <v>156</v>
      </c>
      <c r="I34" s="25" t="s">
        <v>48</v>
      </c>
      <c r="J34" s="25" t="s">
        <v>38</v>
      </c>
      <c r="K34" s="25" t="s">
        <v>39</v>
      </c>
      <c r="L34" s="67">
        <f>10000/1000</f>
        <v>10</v>
      </c>
      <c r="M34" s="67">
        <f>10000/1000</f>
        <v>10</v>
      </c>
      <c r="N34" s="67">
        <f>10000/1000</f>
        <v>10</v>
      </c>
      <c r="O34" s="67">
        <f>10000/1000</f>
        <v>10</v>
      </c>
      <c r="P34" s="67"/>
      <c r="Q34" s="67"/>
      <c r="R34" s="67"/>
      <c r="S34" s="67"/>
      <c r="T34" s="21">
        <v>300</v>
      </c>
    </row>
    <row r="35" spans="1:21" ht="111.75" customHeight="1">
      <c r="A35" s="58" t="s">
        <v>26</v>
      </c>
      <c r="B35" s="59" t="s">
        <v>46</v>
      </c>
      <c r="C35" s="41" t="s">
        <v>69</v>
      </c>
      <c r="D35" s="151" t="s">
        <v>61</v>
      </c>
      <c r="E35" s="15" t="s">
        <v>36</v>
      </c>
      <c r="F35" s="66">
        <v>40909</v>
      </c>
      <c r="G35" s="25" t="s">
        <v>157</v>
      </c>
      <c r="H35" s="25" t="s">
        <v>149</v>
      </c>
      <c r="I35" s="25" t="s">
        <v>62</v>
      </c>
      <c r="J35" s="25" t="s">
        <v>63</v>
      </c>
      <c r="K35" s="25" t="s">
        <v>53</v>
      </c>
      <c r="L35" s="67">
        <f>307200/1000</f>
        <v>307.2</v>
      </c>
      <c r="M35" s="67">
        <f>293900/1000</f>
        <v>293.9</v>
      </c>
      <c r="N35" s="67">
        <f>292852.46/1000</f>
        <v>292.85246</v>
      </c>
      <c r="O35" s="67">
        <f>307200/1000</f>
        <v>307.2</v>
      </c>
      <c r="P35" s="67">
        <f>73015/1000</f>
        <v>73.015</v>
      </c>
      <c r="Q35" s="67">
        <f>307200/1000</f>
        <v>307.2</v>
      </c>
      <c r="R35" s="67">
        <f>307200/1000</f>
        <v>307.2</v>
      </c>
      <c r="S35" s="67">
        <f>307200/1000</f>
        <v>307.2</v>
      </c>
      <c r="T35" s="21">
        <v>300</v>
      </c>
      <c r="U35" s="79"/>
    </row>
    <row r="36" spans="1:21" ht="120.75" customHeight="1">
      <c r="A36" s="58" t="s">
        <v>26</v>
      </c>
      <c r="B36" s="10" t="s">
        <v>46</v>
      </c>
      <c r="C36" s="41" t="s">
        <v>69</v>
      </c>
      <c r="D36" s="151"/>
      <c r="E36" s="15" t="s">
        <v>36</v>
      </c>
      <c r="F36" s="66">
        <v>40909</v>
      </c>
      <c r="G36" s="25" t="s">
        <v>157</v>
      </c>
      <c r="H36" s="25" t="s">
        <v>156</v>
      </c>
      <c r="I36" s="25" t="s">
        <v>62</v>
      </c>
      <c r="J36" s="25" t="s">
        <v>63</v>
      </c>
      <c r="K36" s="25" t="s">
        <v>53</v>
      </c>
      <c r="L36" s="67">
        <f>602400/1000</f>
        <v>602.4</v>
      </c>
      <c r="M36" s="67">
        <f>575000/1000</f>
        <v>575</v>
      </c>
      <c r="N36" s="67">
        <f>574296.48/1000</f>
        <v>574.29648</v>
      </c>
      <c r="O36" s="67">
        <f>602400/1000</f>
        <v>602.4</v>
      </c>
      <c r="P36" s="67">
        <f>141570.81/1000</f>
        <v>141.57081</v>
      </c>
      <c r="Q36" s="67">
        <f>602400/1000</f>
        <v>602.4</v>
      </c>
      <c r="R36" s="67">
        <f>602400/1000</f>
        <v>602.4</v>
      </c>
      <c r="S36" s="67">
        <f>602400/1000</f>
        <v>602.4</v>
      </c>
      <c r="T36" s="21">
        <v>300</v>
      </c>
      <c r="U36" s="79"/>
    </row>
    <row r="37" spans="1:21" ht="12.75" customHeight="1" hidden="1">
      <c r="A37" s="58" t="s">
        <v>26</v>
      </c>
      <c r="B37" s="10" t="s">
        <v>46</v>
      </c>
      <c r="C37" s="41" t="s">
        <v>69</v>
      </c>
      <c r="D37" s="150" t="s">
        <v>70</v>
      </c>
      <c r="E37" s="77"/>
      <c r="F37" s="77"/>
      <c r="G37" s="80"/>
      <c r="H37" s="80"/>
      <c r="I37" s="80"/>
      <c r="J37" s="80"/>
      <c r="K37" s="80"/>
      <c r="L37" s="68">
        <f>L38+L39+L40+L43+L44+L45+L47+L67+L48+L49+L46</f>
        <v>168874.52000000002</v>
      </c>
      <c r="M37" s="68">
        <f>M38+M39+M43+M44+M45+M47+M67+M48+M49</f>
        <v>138245.31999999998</v>
      </c>
      <c r="N37" s="68">
        <f>N38+N39+N43+N44+N45+N47+N67+N48+N49</f>
        <v>138231.65186</v>
      </c>
      <c r="O37" s="68">
        <f>O38+O39+O40+O43+O44+O46+O47+O67+O48+O49</f>
        <v>156978.80000000002</v>
      </c>
      <c r="P37" s="68">
        <f>P38+P39+P40+P43+P44+P46+P47+P67+P48+P49</f>
        <v>40778.32324</v>
      </c>
      <c r="Q37" s="68">
        <f>Q38</f>
        <v>98113.7</v>
      </c>
      <c r="R37" s="68">
        <f>R38</f>
        <v>97966.8</v>
      </c>
      <c r="S37" s="68">
        <f>S38</f>
        <v>97966.8</v>
      </c>
      <c r="T37" s="21">
        <v>300</v>
      </c>
      <c r="U37" s="69"/>
    </row>
    <row r="38" spans="1:20" ht="13.5" customHeight="1">
      <c r="A38" s="58" t="s">
        <v>26</v>
      </c>
      <c r="B38" s="10" t="s">
        <v>46</v>
      </c>
      <c r="C38" s="41" t="s">
        <v>69</v>
      </c>
      <c r="D38" s="150"/>
      <c r="E38" s="71" t="s">
        <v>71</v>
      </c>
      <c r="F38" s="72">
        <v>33795</v>
      </c>
      <c r="G38" s="16" t="s">
        <v>157</v>
      </c>
      <c r="H38" s="16" t="s">
        <v>149</v>
      </c>
      <c r="I38" s="16" t="s">
        <v>72</v>
      </c>
      <c r="J38" s="16" t="s">
        <v>73</v>
      </c>
      <c r="K38" s="16" t="s">
        <v>39</v>
      </c>
      <c r="L38" s="63">
        <f>(95244500+5959960)/1000</f>
        <v>101204.46</v>
      </c>
      <c r="M38" s="62">
        <f>87795432/1000</f>
        <v>87795.432</v>
      </c>
      <c r="N38" s="62">
        <f>87795432/1000</f>
        <v>87795.432</v>
      </c>
      <c r="O38" s="63">
        <f>95244500/1000</f>
        <v>95244.5</v>
      </c>
      <c r="P38" s="63">
        <f>23499064.13/1000</f>
        <v>23499.06413</v>
      </c>
      <c r="Q38" s="63">
        <f>98113700/1000</f>
        <v>98113.7</v>
      </c>
      <c r="R38" s="63">
        <f>97966800/1000</f>
        <v>97966.8</v>
      </c>
      <c r="S38" s="63">
        <f>97966800/1000</f>
        <v>97966.8</v>
      </c>
      <c r="T38" s="19">
        <v>300</v>
      </c>
    </row>
    <row r="39" spans="1:20" ht="78.75">
      <c r="A39" s="58" t="s">
        <v>26</v>
      </c>
      <c r="B39" s="10" t="s">
        <v>46</v>
      </c>
      <c r="C39" s="41" t="s">
        <v>69</v>
      </c>
      <c r="D39" s="150"/>
      <c r="E39" s="10"/>
      <c r="F39" s="13">
        <v>39703</v>
      </c>
      <c r="G39" s="16" t="s">
        <v>157</v>
      </c>
      <c r="H39" s="16" t="s">
        <v>149</v>
      </c>
      <c r="I39" s="16" t="s">
        <v>72</v>
      </c>
      <c r="J39" s="16" t="s">
        <v>38</v>
      </c>
      <c r="K39" s="16" t="s">
        <v>39</v>
      </c>
      <c r="L39" s="63"/>
      <c r="M39" s="62">
        <f>228120/1000</f>
        <v>228.12</v>
      </c>
      <c r="N39" s="62">
        <f>228120/1000</f>
        <v>228.12</v>
      </c>
      <c r="O39" s="63"/>
      <c r="P39" s="63"/>
      <c r="Q39" s="63"/>
      <c r="R39" s="63"/>
      <c r="S39" s="63"/>
      <c r="T39" s="19">
        <v>300</v>
      </c>
    </row>
    <row r="40" spans="1:20" ht="78.75">
      <c r="A40" s="58" t="s">
        <v>26</v>
      </c>
      <c r="B40" s="10" t="s">
        <v>46</v>
      </c>
      <c r="C40" s="41" t="s">
        <v>69</v>
      </c>
      <c r="D40" s="150"/>
      <c r="E40" s="10"/>
      <c r="F40" s="13">
        <v>40843</v>
      </c>
      <c r="G40" s="16" t="s">
        <v>157</v>
      </c>
      <c r="H40" s="16" t="s">
        <v>149</v>
      </c>
      <c r="I40" s="16" t="s">
        <v>74</v>
      </c>
      <c r="J40" s="16" t="s">
        <v>73</v>
      </c>
      <c r="K40" s="16" t="s">
        <v>39</v>
      </c>
      <c r="L40" s="63">
        <f>(18168600+2608560)/1000</f>
        <v>20777.16</v>
      </c>
      <c r="M40" s="62"/>
      <c r="N40" s="62"/>
      <c r="O40" s="63">
        <f>18168600/1000</f>
        <v>18168.6</v>
      </c>
      <c r="P40" s="63">
        <f>3028100/1000</f>
        <v>3028.1</v>
      </c>
      <c r="Q40" s="63"/>
      <c r="R40" s="63"/>
      <c r="S40" s="63"/>
      <c r="T40" s="19">
        <v>300</v>
      </c>
    </row>
    <row r="41" spans="1:20" ht="12.75" customHeight="1" hidden="1">
      <c r="A41" s="58" t="s">
        <v>26</v>
      </c>
      <c r="B41" s="10" t="s">
        <v>46</v>
      </c>
      <c r="C41" s="41" t="s">
        <v>69</v>
      </c>
      <c r="D41" s="150"/>
      <c r="E41" s="10"/>
      <c r="F41" s="13">
        <v>36969</v>
      </c>
      <c r="G41" s="16"/>
      <c r="H41" s="16"/>
      <c r="I41" s="16"/>
      <c r="J41" s="16"/>
      <c r="K41" s="16"/>
      <c r="L41" s="63"/>
      <c r="M41" s="62"/>
      <c r="N41" s="62"/>
      <c r="O41" s="63"/>
      <c r="P41" s="63"/>
      <c r="Q41" s="63"/>
      <c r="R41" s="63"/>
      <c r="S41" s="63"/>
      <c r="T41" s="19">
        <v>300</v>
      </c>
    </row>
    <row r="42" spans="1:20" ht="12.75" customHeight="1" hidden="1">
      <c r="A42" s="58" t="s">
        <v>26</v>
      </c>
      <c r="B42" s="10" t="s">
        <v>46</v>
      </c>
      <c r="C42" s="41" t="s">
        <v>69</v>
      </c>
      <c r="D42" s="150"/>
      <c r="E42" s="10"/>
      <c r="F42" s="13">
        <v>39423</v>
      </c>
      <c r="G42" s="16"/>
      <c r="H42" s="16"/>
      <c r="I42" s="16"/>
      <c r="J42" s="16"/>
      <c r="K42" s="16"/>
      <c r="L42" s="63"/>
      <c r="M42" s="62"/>
      <c r="N42" s="62"/>
      <c r="O42" s="63"/>
      <c r="P42" s="63"/>
      <c r="Q42" s="63"/>
      <c r="R42" s="63"/>
      <c r="S42" s="63"/>
      <c r="T42" s="19">
        <v>300</v>
      </c>
    </row>
    <row r="43" spans="1:20" ht="78.75">
      <c r="A43" s="58" t="s">
        <v>26</v>
      </c>
      <c r="B43" s="10" t="s">
        <v>46</v>
      </c>
      <c r="C43" s="41" t="s">
        <v>69</v>
      </c>
      <c r="D43" s="81" t="s">
        <v>75</v>
      </c>
      <c r="E43" s="10" t="s">
        <v>36</v>
      </c>
      <c r="F43" s="13">
        <v>40847</v>
      </c>
      <c r="G43" s="16" t="s">
        <v>157</v>
      </c>
      <c r="H43" s="16" t="s">
        <v>149</v>
      </c>
      <c r="I43" s="16" t="s">
        <v>76</v>
      </c>
      <c r="J43" s="16" t="s">
        <v>38</v>
      </c>
      <c r="K43" s="16" t="s">
        <v>39</v>
      </c>
      <c r="L43" s="63"/>
      <c r="M43" s="82">
        <f>2399845.94/1000</f>
        <v>2399.84594</v>
      </c>
      <c r="N43" s="82">
        <f>2399845.94/1000</f>
        <v>2399.84594</v>
      </c>
      <c r="O43" s="63"/>
      <c r="P43" s="63"/>
      <c r="Q43" s="63"/>
      <c r="R43" s="63"/>
      <c r="S43" s="63"/>
      <c r="T43" s="19">
        <v>300</v>
      </c>
    </row>
    <row r="44" spans="1:20" ht="78.75">
      <c r="A44" s="58" t="s">
        <v>26</v>
      </c>
      <c r="B44" s="10" t="s">
        <v>46</v>
      </c>
      <c r="C44" s="41" t="s">
        <v>69</v>
      </c>
      <c r="D44" s="81" t="s">
        <v>77</v>
      </c>
      <c r="E44" s="10"/>
      <c r="F44" s="13"/>
      <c r="G44" s="16" t="s">
        <v>157</v>
      </c>
      <c r="H44" s="16" t="s">
        <v>149</v>
      </c>
      <c r="I44" s="16" t="s">
        <v>78</v>
      </c>
      <c r="J44" s="16" t="s">
        <v>38</v>
      </c>
      <c r="K44" s="16" t="s">
        <v>39</v>
      </c>
      <c r="L44" s="63"/>
      <c r="M44" s="82">
        <f>168000/1000</f>
        <v>168</v>
      </c>
      <c r="N44" s="82">
        <f>167724/1000</f>
        <v>167.724</v>
      </c>
      <c r="O44" s="63"/>
      <c r="P44" s="63"/>
      <c r="Q44" s="63"/>
      <c r="R44" s="63"/>
      <c r="S44" s="63"/>
      <c r="T44" s="19">
        <v>300</v>
      </c>
    </row>
    <row r="45" spans="1:20" ht="78.75">
      <c r="A45" s="58" t="s">
        <v>26</v>
      </c>
      <c r="B45" s="10" t="s">
        <v>46</v>
      </c>
      <c r="C45" s="41" t="s">
        <v>69</v>
      </c>
      <c r="D45" s="146" t="s">
        <v>79</v>
      </c>
      <c r="E45" s="10" t="s">
        <v>36</v>
      </c>
      <c r="F45" s="13">
        <v>40847</v>
      </c>
      <c r="G45" s="16" t="s">
        <v>157</v>
      </c>
      <c r="H45" s="16" t="s">
        <v>149</v>
      </c>
      <c r="I45" s="16" t="s">
        <v>80</v>
      </c>
      <c r="J45" s="19">
        <v>805</v>
      </c>
      <c r="K45" s="19">
        <v>241</v>
      </c>
      <c r="L45" s="62"/>
      <c r="M45" s="83">
        <f>654000/1000</f>
        <v>654</v>
      </c>
      <c r="N45" s="83">
        <f>650522.17/1000</f>
        <v>650.5221700000001</v>
      </c>
      <c r="O45" s="19"/>
      <c r="P45" s="19"/>
      <c r="Q45" s="63"/>
      <c r="R45" s="63"/>
      <c r="S45" s="63"/>
      <c r="T45" s="19">
        <v>300</v>
      </c>
    </row>
    <row r="46" spans="1:20" ht="78.75">
      <c r="A46" s="58" t="s">
        <v>26</v>
      </c>
      <c r="B46" s="10" t="s">
        <v>46</v>
      </c>
      <c r="C46" s="41" t="s">
        <v>69</v>
      </c>
      <c r="D46" s="147"/>
      <c r="E46" s="10"/>
      <c r="F46" s="13"/>
      <c r="G46" s="16" t="s">
        <v>157</v>
      </c>
      <c r="H46" s="16" t="s">
        <v>149</v>
      </c>
      <c r="I46" s="16" t="s">
        <v>81</v>
      </c>
      <c r="J46" s="19">
        <v>805</v>
      </c>
      <c r="K46" s="19">
        <v>241</v>
      </c>
      <c r="L46" s="62">
        <f>564000/1000</f>
        <v>564</v>
      </c>
      <c r="M46" s="83"/>
      <c r="N46" s="83"/>
      <c r="O46" s="62">
        <f>564000/1000</f>
        <v>564</v>
      </c>
      <c r="P46" s="62">
        <f>41720/1000</f>
        <v>41.72</v>
      </c>
      <c r="Q46" s="63"/>
      <c r="R46" s="63"/>
      <c r="S46" s="63"/>
      <c r="T46" s="19">
        <v>300</v>
      </c>
    </row>
    <row r="47" spans="1:20" ht="78.75">
      <c r="A47" s="58" t="s">
        <v>26</v>
      </c>
      <c r="B47" s="10" t="s">
        <v>46</v>
      </c>
      <c r="C47" s="41" t="s">
        <v>69</v>
      </c>
      <c r="D47" s="81" t="s">
        <v>82</v>
      </c>
      <c r="E47" s="10" t="s">
        <v>36</v>
      </c>
      <c r="F47" s="13">
        <v>40077</v>
      </c>
      <c r="G47" s="16" t="s">
        <v>157</v>
      </c>
      <c r="H47" s="16" t="s">
        <v>149</v>
      </c>
      <c r="I47" s="16" t="s">
        <v>83</v>
      </c>
      <c r="J47" s="16" t="s">
        <v>38</v>
      </c>
      <c r="K47" s="16" t="s">
        <v>39</v>
      </c>
      <c r="L47" s="63">
        <f>1500000/1000</f>
        <v>1500</v>
      </c>
      <c r="M47" s="82">
        <f>7445200/1000</f>
        <v>7445.2</v>
      </c>
      <c r="N47" s="82">
        <f>7438109.27/1000</f>
        <v>7438.10927</v>
      </c>
      <c r="O47" s="63">
        <f>1500000/1000</f>
        <v>1500</v>
      </c>
      <c r="P47" s="63">
        <v>0</v>
      </c>
      <c r="Q47" s="63"/>
      <c r="R47" s="63"/>
      <c r="S47" s="63"/>
      <c r="T47" s="19">
        <v>300</v>
      </c>
    </row>
    <row r="48" spans="1:20" ht="42" customHeight="1">
      <c r="A48" s="58" t="s">
        <v>26</v>
      </c>
      <c r="B48" s="59" t="s">
        <v>46</v>
      </c>
      <c r="C48" s="84" t="s">
        <v>69</v>
      </c>
      <c r="D48" s="142" t="s">
        <v>89</v>
      </c>
      <c r="E48" s="71" t="s">
        <v>71</v>
      </c>
      <c r="F48" s="72">
        <v>33795</v>
      </c>
      <c r="G48" s="16" t="s">
        <v>157</v>
      </c>
      <c r="H48" s="60" t="s">
        <v>156</v>
      </c>
      <c r="I48" s="60" t="s">
        <v>90</v>
      </c>
      <c r="J48" s="60" t="s">
        <v>73</v>
      </c>
      <c r="K48" s="60" t="s">
        <v>39</v>
      </c>
      <c r="L48" s="62">
        <f>(41064600+3327200)/1000</f>
        <v>44391.8</v>
      </c>
      <c r="M48" s="62">
        <f>38855721.81/1000</f>
        <v>38855.72181</v>
      </c>
      <c r="N48" s="62">
        <f>38855721.81/1000</f>
        <v>38855.72181</v>
      </c>
      <c r="O48" s="62">
        <f>41064600/1000</f>
        <v>41064.6</v>
      </c>
      <c r="P48" s="62">
        <f>14155785.11/1000</f>
        <v>14155.785109999999</v>
      </c>
      <c r="Q48" s="62">
        <f>39013600/1000</f>
        <v>39013.6</v>
      </c>
      <c r="R48" s="62">
        <f>39013600/1000</f>
        <v>39013.6</v>
      </c>
      <c r="S48" s="62">
        <f>39013600/1000</f>
        <v>39013.6</v>
      </c>
      <c r="T48" s="70">
        <v>300</v>
      </c>
    </row>
    <row r="49" spans="1:20" ht="15" customHeight="1">
      <c r="A49" s="58" t="s">
        <v>26</v>
      </c>
      <c r="B49" s="59" t="s">
        <v>46</v>
      </c>
      <c r="C49" s="84" t="s">
        <v>69</v>
      </c>
      <c r="D49" s="143"/>
      <c r="E49" s="140" t="s">
        <v>91</v>
      </c>
      <c r="F49" s="13">
        <v>37900</v>
      </c>
      <c r="G49" s="16" t="s">
        <v>157</v>
      </c>
      <c r="H49" s="60" t="s">
        <v>156</v>
      </c>
      <c r="I49" s="60" t="s">
        <v>90</v>
      </c>
      <c r="J49" s="60" t="s">
        <v>38</v>
      </c>
      <c r="K49" s="60" t="s">
        <v>39</v>
      </c>
      <c r="L49" s="62"/>
      <c r="M49" s="62">
        <f>380032.25/1000</f>
        <v>380.03225</v>
      </c>
      <c r="N49" s="62">
        <f>379452.25/1000</f>
        <v>379.45225</v>
      </c>
      <c r="O49" s="62"/>
      <c r="P49" s="62"/>
      <c r="Q49" s="62"/>
      <c r="R49" s="62"/>
      <c r="S49" s="62"/>
      <c r="T49" s="70">
        <v>300</v>
      </c>
    </row>
    <row r="50" spans="1:20" ht="78.75">
      <c r="A50" s="58" t="s">
        <v>26</v>
      </c>
      <c r="B50" s="59" t="s">
        <v>46</v>
      </c>
      <c r="C50" s="84" t="s">
        <v>69</v>
      </c>
      <c r="D50" s="143"/>
      <c r="E50" s="140"/>
      <c r="F50" s="71"/>
      <c r="G50" s="16" t="s">
        <v>157</v>
      </c>
      <c r="H50" s="60" t="s">
        <v>156</v>
      </c>
      <c r="I50" s="60" t="s">
        <v>92</v>
      </c>
      <c r="J50" s="60" t="s">
        <v>73</v>
      </c>
      <c r="K50" s="60" t="s">
        <v>39</v>
      </c>
      <c r="L50" s="62">
        <f>16154900/1000</f>
        <v>16154.9</v>
      </c>
      <c r="M50" s="62">
        <f>15694500/1000</f>
        <v>15694.5</v>
      </c>
      <c r="N50" s="62">
        <f>15694500/1000</f>
        <v>15694.5</v>
      </c>
      <c r="O50" s="62">
        <f>16154900/1000</f>
        <v>16154.9</v>
      </c>
      <c r="P50" s="62">
        <f>3916014.97/1000</f>
        <v>3916.01497</v>
      </c>
      <c r="Q50" s="62">
        <f>15583900/1000</f>
        <v>15583.9</v>
      </c>
      <c r="R50" s="62">
        <f>15583900/1000</f>
        <v>15583.9</v>
      </c>
      <c r="S50" s="62">
        <f>15583900/1000</f>
        <v>15583.9</v>
      </c>
      <c r="T50" s="70">
        <v>300</v>
      </c>
    </row>
    <row r="51" spans="1:20" ht="78.75">
      <c r="A51" s="58" t="s">
        <v>26</v>
      </c>
      <c r="B51" s="59" t="s">
        <v>46</v>
      </c>
      <c r="C51" s="84" t="s">
        <v>69</v>
      </c>
      <c r="D51" s="143"/>
      <c r="E51" s="71"/>
      <c r="F51" s="71"/>
      <c r="G51" s="16" t="s">
        <v>157</v>
      </c>
      <c r="H51" s="60" t="s">
        <v>156</v>
      </c>
      <c r="I51" s="60" t="s">
        <v>92</v>
      </c>
      <c r="J51" s="60" t="s">
        <v>38</v>
      </c>
      <c r="K51" s="60" t="s">
        <v>39</v>
      </c>
      <c r="L51" s="62"/>
      <c r="M51" s="62">
        <f>39060/1000</f>
        <v>39.06</v>
      </c>
      <c r="N51" s="62">
        <f>39060/1000</f>
        <v>39.06</v>
      </c>
      <c r="O51" s="62"/>
      <c r="P51" s="62"/>
      <c r="Q51" s="62"/>
      <c r="R51" s="62"/>
      <c r="S51" s="62"/>
      <c r="T51" s="70">
        <v>300</v>
      </c>
    </row>
    <row r="52" spans="1:20" ht="78.75">
      <c r="A52" s="58" t="s">
        <v>26</v>
      </c>
      <c r="B52" s="59" t="s">
        <v>46</v>
      </c>
      <c r="C52" s="84" t="s">
        <v>69</v>
      </c>
      <c r="D52" s="143"/>
      <c r="E52" s="71" t="s">
        <v>36</v>
      </c>
      <c r="F52" s="72">
        <v>39423</v>
      </c>
      <c r="G52" s="16" t="s">
        <v>157</v>
      </c>
      <c r="H52" s="60" t="s">
        <v>156</v>
      </c>
      <c r="I52" s="16" t="s">
        <v>76</v>
      </c>
      <c r="J52" s="60" t="s">
        <v>38</v>
      </c>
      <c r="K52" s="60" t="s">
        <v>39</v>
      </c>
      <c r="L52" s="62">
        <f>2955000/1000</f>
        <v>2955</v>
      </c>
      <c r="M52" s="62">
        <f>2587850/1000</f>
        <v>2587.85</v>
      </c>
      <c r="N52" s="62">
        <f>2583650/1000</f>
        <v>2583.65</v>
      </c>
      <c r="O52" s="62">
        <f>2955000/1000</f>
        <v>2955</v>
      </c>
      <c r="P52" s="62">
        <f>24900/1000</f>
        <v>24.9</v>
      </c>
      <c r="Q52" s="62"/>
      <c r="R52" s="62"/>
      <c r="S52" s="62"/>
      <c r="T52" s="70">
        <v>300</v>
      </c>
    </row>
    <row r="53" spans="1:20" ht="78.75">
      <c r="A53" s="58" t="s">
        <v>26</v>
      </c>
      <c r="B53" s="59" t="s">
        <v>46</v>
      </c>
      <c r="C53" s="84" t="s">
        <v>69</v>
      </c>
      <c r="D53" s="143"/>
      <c r="E53" s="10"/>
      <c r="F53" s="10"/>
      <c r="G53" s="16" t="s">
        <v>157</v>
      </c>
      <c r="H53" s="60" t="s">
        <v>156</v>
      </c>
      <c r="I53" s="16" t="s">
        <v>80</v>
      </c>
      <c r="J53" s="60" t="s">
        <v>38</v>
      </c>
      <c r="K53" s="60" t="s">
        <v>39</v>
      </c>
      <c r="L53" s="62"/>
      <c r="M53" s="62">
        <f>726700/1000</f>
        <v>726.7</v>
      </c>
      <c r="N53" s="62">
        <f>725405/1000</f>
        <v>725.405</v>
      </c>
      <c r="O53" s="62"/>
      <c r="P53" s="62"/>
      <c r="Q53" s="62"/>
      <c r="R53" s="62"/>
      <c r="S53" s="62"/>
      <c r="T53" s="70">
        <v>300</v>
      </c>
    </row>
    <row r="54" spans="1:20" ht="78.75">
      <c r="A54" s="58" t="s">
        <v>26</v>
      </c>
      <c r="B54" s="59" t="s">
        <v>46</v>
      </c>
      <c r="C54" s="84" t="s">
        <v>69</v>
      </c>
      <c r="D54" s="143"/>
      <c r="E54" s="71" t="s">
        <v>36</v>
      </c>
      <c r="F54" s="72">
        <v>34765</v>
      </c>
      <c r="G54" s="16" t="s">
        <v>157</v>
      </c>
      <c r="H54" s="60" t="s">
        <v>156</v>
      </c>
      <c r="I54" s="60" t="s">
        <v>81</v>
      </c>
      <c r="J54" s="60" t="s">
        <v>38</v>
      </c>
      <c r="K54" s="60" t="s">
        <v>39</v>
      </c>
      <c r="L54" s="62">
        <f>563000/1000</f>
        <v>563</v>
      </c>
      <c r="M54" s="62"/>
      <c r="N54" s="62"/>
      <c r="O54" s="62">
        <f>563000/1000</f>
        <v>563</v>
      </c>
      <c r="P54" s="62">
        <f>71529.46/1000</f>
        <v>71.52946</v>
      </c>
      <c r="Q54" s="62"/>
      <c r="R54" s="62"/>
      <c r="S54" s="62"/>
      <c r="T54" s="70">
        <v>300</v>
      </c>
    </row>
    <row r="55" spans="1:20" ht="15" customHeight="1" hidden="1">
      <c r="A55" s="58" t="s">
        <v>26</v>
      </c>
      <c r="B55" s="59" t="s">
        <v>46</v>
      </c>
      <c r="C55" s="84" t="s">
        <v>69</v>
      </c>
      <c r="D55" s="143"/>
      <c r="E55" s="10" t="s">
        <v>36</v>
      </c>
      <c r="F55" s="13">
        <v>39448</v>
      </c>
      <c r="G55" s="16" t="s">
        <v>157</v>
      </c>
      <c r="H55" s="60" t="s">
        <v>156</v>
      </c>
      <c r="I55" s="60"/>
      <c r="J55" s="60"/>
      <c r="K55" s="60"/>
      <c r="L55" s="62"/>
      <c r="M55" s="62"/>
      <c r="N55" s="62"/>
      <c r="O55" s="62"/>
      <c r="P55" s="62"/>
      <c r="Q55" s="62"/>
      <c r="R55" s="62"/>
      <c r="S55" s="62"/>
      <c r="T55" s="70">
        <v>300</v>
      </c>
    </row>
    <row r="56" spans="1:20" ht="12.75" customHeight="1" hidden="1">
      <c r="A56" s="58" t="s">
        <v>26</v>
      </c>
      <c r="B56" s="59" t="s">
        <v>46</v>
      </c>
      <c r="C56" s="84" t="s">
        <v>69</v>
      </c>
      <c r="D56" s="144"/>
      <c r="E56" s="71"/>
      <c r="F56" s="71"/>
      <c r="G56" s="16" t="s">
        <v>157</v>
      </c>
      <c r="H56" s="60" t="s">
        <v>156</v>
      </c>
      <c r="I56" s="16"/>
      <c r="J56" s="16"/>
      <c r="K56" s="16"/>
      <c r="L56" s="62"/>
      <c r="M56" s="62"/>
      <c r="N56" s="62"/>
      <c r="O56" s="62"/>
      <c r="P56" s="62"/>
      <c r="Q56" s="62"/>
      <c r="R56" s="62"/>
      <c r="S56" s="62"/>
      <c r="T56" s="70">
        <v>300</v>
      </c>
    </row>
    <row r="57" spans="1:20" ht="78.75">
      <c r="A57" s="58" t="s">
        <v>26</v>
      </c>
      <c r="B57" s="59" t="s">
        <v>46</v>
      </c>
      <c r="C57" s="84" t="s">
        <v>69</v>
      </c>
      <c r="D57" s="81" t="s">
        <v>93</v>
      </c>
      <c r="E57" s="71"/>
      <c r="F57" s="72">
        <v>40668</v>
      </c>
      <c r="G57" s="16" t="s">
        <v>157</v>
      </c>
      <c r="H57" s="60" t="s">
        <v>156</v>
      </c>
      <c r="I57" s="16" t="s">
        <v>94</v>
      </c>
      <c r="J57" s="60" t="s">
        <v>38</v>
      </c>
      <c r="K57" s="60" t="s">
        <v>39</v>
      </c>
      <c r="L57" s="62">
        <f>150000/1000</f>
        <v>150</v>
      </c>
      <c r="M57" s="62">
        <f>76800/1000</f>
        <v>76.8</v>
      </c>
      <c r="N57" s="62">
        <f>76800/1000</f>
        <v>76.8</v>
      </c>
      <c r="O57" s="62">
        <f>150000/1000</f>
        <v>150</v>
      </c>
      <c r="P57" s="62"/>
      <c r="Q57" s="62"/>
      <c r="R57" s="62"/>
      <c r="S57" s="62"/>
      <c r="T57" s="70">
        <v>300</v>
      </c>
    </row>
    <row r="58" spans="1:20" ht="78.75">
      <c r="A58" s="58" t="s">
        <v>26</v>
      </c>
      <c r="B58" s="59" t="s">
        <v>46</v>
      </c>
      <c r="C58" s="84" t="s">
        <v>69</v>
      </c>
      <c r="D58" s="85" t="s">
        <v>95</v>
      </c>
      <c r="E58" s="71" t="s">
        <v>96</v>
      </c>
      <c r="F58" s="72">
        <v>39932</v>
      </c>
      <c r="G58" s="16" t="s">
        <v>157</v>
      </c>
      <c r="H58" s="60" t="s">
        <v>156</v>
      </c>
      <c r="I58" s="60" t="s">
        <v>97</v>
      </c>
      <c r="J58" s="60" t="s">
        <v>38</v>
      </c>
      <c r="K58" s="60" t="s">
        <v>39</v>
      </c>
      <c r="L58" s="19"/>
      <c r="M58" s="62">
        <f>35349/1000</f>
        <v>35.349</v>
      </c>
      <c r="N58" s="62">
        <f>35349/1000</f>
        <v>35.349</v>
      </c>
      <c r="O58" s="19"/>
      <c r="P58" s="19"/>
      <c r="Q58" s="62"/>
      <c r="R58" s="62"/>
      <c r="S58" s="62"/>
      <c r="T58" s="70">
        <v>300</v>
      </c>
    </row>
    <row r="59" spans="1:20" ht="44.25" customHeight="1">
      <c r="A59" s="58" t="s">
        <v>26</v>
      </c>
      <c r="B59" s="79" t="s">
        <v>46</v>
      </c>
      <c r="C59" s="41" t="s">
        <v>69</v>
      </c>
      <c r="D59" s="65"/>
      <c r="E59" s="15"/>
      <c r="F59" s="15"/>
      <c r="G59" s="16" t="s">
        <v>157</v>
      </c>
      <c r="H59" s="25" t="s">
        <v>156</v>
      </c>
      <c r="I59" s="25" t="s">
        <v>124</v>
      </c>
      <c r="J59" s="25" t="s">
        <v>38</v>
      </c>
      <c r="K59" s="25" t="s">
        <v>39</v>
      </c>
      <c r="L59" s="67">
        <f>1385000/1000</f>
        <v>1385</v>
      </c>
      <c r="M59" s="67"/>
      <c r="N59" s="67"/>
      <c r="O59" s="67">
        <f>1385000/1000</f>
        <v>1385</v>
      </c>
      <c r="P59" s="67">
        <v>0</v>
      </c>
      <c r="Q59" s="67">
        <f>1385000/1000</f>
        <v>1385</v>
      </c>
      <c r="R59" s="67">
        <f>1385000/1000</f>
        <v>1385</v>
      </c>
      <c r="S59" s="67">
        <f>1385000/1000</f>
        <v>1385</v>
      </c>
      <c r="T59" s="21">
        <v>300</v>
      </c>
    </row>
    <row r="60" spans="1:20" ht="66.75" customHeight="1">
      <c r="A60" s="58" t="s">
        <v>26</v>
      </c>
      <c r="B60" s="79" t="s">
        <v>46</v>
      </c>
      <c r="C60" s="41" t="s">
        <v>69</v>
      </c>
      <c r="D60" s="65" t="s">
        <v>125</v>
      </c>
      <c r="E60" s="15"/>
      <c r="F60" s="15"/>
      <c r="G60" s="25" t="s">
        <v>157</v>
      </c>
      <c r="H60" s="25" t="s">
        <v>156</v>
      </c>
      <c r="I60" s="25" t="s">
        <v>126</v>
      </c>
      <c r="J60" s="25" t="s">
        <v>38</v>
      </c>
      <c r="K60" s="25" t="s">
        <v>39</v>
      </c>
      <c r="L60" s="67"/>
      <c r="M60" s="67">
        <f>1400000/1000</f>
        <v>1400</v>
      </c>
      <c r="N60" s="67">
        <f>1307318.27/1000</f>
        <v>1307.31827</v>
      </c>
      <c r="O60" s="67"/>
      <c r="P60" s="67"/>
      <c r="Q60" s="67"/>
      <c r="R60" s="67"/>
      <c r="S60" s="67"/>
      <c r="T60" s="21">
        <v>300</v>
      </c>
    </row>
    <row r="61" spans="1:20" s="69" customFormat="1" ht="38.25" customHeight="1">
      <c r="A61" s="73" t="s">
        <v>26</v>
      </c>
      <c r="B61" s="74" t="s">
        <v>46</v>
      </c>
      <c r="C61" s="41" t="s">
        <v>69</v>
      </c>
      <c r="D61" s="65" t="s">
        <v>102</v>
      </c>
      <c r="E61" s="15"/>
      <c r="F61" s="15"/>
      <c r="G61" s="25" t="s">
        <v>157</v>
      </c>
      <c r="H61" s="25" t="s">
        <v>154</v>
      </c>
      <c r="I61" s="25" t="s">
        <v>33</v>
      </c>
      <c r="J61" s="25" t="s">
        <v>31</v>
      </c>
      <c r="K61" s="25" t="s">
        <v>32</v>
      </c>
      <c r="L61" s="67">
        <f>15000/1000</f>
        <v>15</v>
      </c>
      <c r="M61" s="21"/>
      <c r="N61" s="21"/>
      <c r="O61" s="67">
        <f>15000/1000</f>
        <v>15</v>
      </c>
      <c r="P61" s="67">
        <f>4968/1000</f>
        <v>4.968</v>
      </c>
      <c r="Q61" s="67"/>
      <c r="R61" s="67"/>
      <c r="S61" s="67"/>
      <c r="T61" s="21">
        <v>300</v>
      </c>
    </row>
    <row r="62" spans="1:20" ht="38.25" customHeight="1">
      <c r="A62" s="58" t="s">
        <v>26</v>
      </c>
      <c r="B62" s="59" t="s">
        <v>84</v>
      </c>
      <c r="C62" s="86" t="s">
        <v>162</v>
      </c>
      <c r="D62" s="81" t="s">
        <v>85</v>
      </c>
      <c r="E62" s="10" t="s">
        <v>36</v>
      </c>
      <c r="F62" s="13">
        <v>40077</v>
      </c>
      <c r="G62" s="25" t="s">
        <v>157</v>
      </c>
      <c r="H62" s="16" t="s">
        <v>149</v>
      </c>
      <c r="I62" s="16" t="s">
        <v>86</v>
      </c>
      <c r="J62" s="19">
        <v>805</v>
      </c>
      <c r="K62" s="19">
        <v>241</v>
      </c>
      <c r="L62" s="62">
        <f>141000/1000</f>
        <v>141</v>
      </c>
      <c r="M62" s="83">
        <f>55200/1000</f>
        <v>55.2</v>
      </c>
      <c r="N62" s="83">
        <f>55060.91/1000</f>
        <v>55.06091000000001</v>
      </c>
      <c r="O62" s="62">
        <f>141000/1000</f>
        <v>141</v>
      </c>
      <c r="P62" s="62">
        <v>0</v>
      </c>
      <c r="Q62" s="63"/>
      <c r="R62" s="63"/>
      <c r="S62" s="63"/>
      <c r="T62" s="19">
        <v>300</v>
      </c>
    </row>
    <row r="63" spans="1:20" ht="38.25" customHeight="1">
      <c r="A63" s="58" t="s">
        <v>26</v>
      </c>
      <c r="B63" s="59" t="s">
        <v>84</v>
      </c>
      <c r="C63" s="86" t="s">
        <v>162</v>
      </c>
      <c r="D63" s="145" t="s">
        <v>87</v>
      </c>
      <c r="E63" s="10" t="s">
        <v>36</v>
      </c>
      <c r="F63" s="13"/>
      <c r="G63" s="25" t="s">
        <v>157</v>
      </c>
      <c r="H63" s="16" t="s">
        <v>149</v>
      </c>
      <c r="I63" s="16" t="s">
        <v>88</v>
      </c>
      <c r="J63" s="19">
        <v>805</v>
      </c>
      <c r="K63" s="19">
        <v>241</v>
      </c>
      <c r="L63" s="62"/>
      <c r="M63" s="83">
        <f>97000/1000</f>
        <v>97</v>
      </c>
      <c r="N63" s="83">
        <f>79500/1000</f>
        <v>79.5</v>
      </c>
      <c r="O63" s="62"/>
      <c r="P63" s="62"/>
      <c r="Q63" s="63"/>
      <c r="R63" s="63"/>
      <c r="S63" s="63"/>
      <c r="T63" s="19">
        <v>300</v>
      </c>
    </row>
    <row r="64" spans="1:20" ht="38.25" customHeight="1">
      <c r="A64" s="58" t="s">
        <v>26</v>
      </c>
      <c r="B64" s="59" t="s">
        <v>84</v>
      </c>
      <c r="C64" s="86" t="s">
        <v>162</v>
      </c>
      <c r="D64" s="145"/>
      <c r="E64" s="10" t="s">
        <v>36</v>
      </c>
      <c r="F64" s="13"/>
      <c r="G64" s="25" t="s">
        <v>157</v>
      </c>
      <c r="H64" s="16" t="s">
        <v>149</v>
      </c>
      <c r="I64" s="16" t="s">
        <v>86</v>
      </c>
      <c r="J64" s="19">
        <v>805</v>
      </c>
      <c r="K64" s="19">
        <v>241</v>
      </c>
      <c r="L64" s="62">
        <f>340400/1000</f>
        <v>340.4</v>
      </c>
      <c r="M64" s="83">
        <f>131500/1000</f>
        <v>131.5</v>
      </c>
      <c r="N64" s="83">
        <f>131500/1000</f>
        <v>131.5</v>
      </c>
      <c r="O64" s="62">
        <f>340400/1000</f>
        <v>340.4</v>
      </c>
      <c r="P64" s="62">
        <v>0</v>
      </c>
      <c r="Q64" s="63"/>
      <c r="R64" s="63"/>
      <c r="S64" s="63"/>
      <c r="T64" s="19">
        <v>300</v>
      </c>
    </row>
    <row r="65" spans="1:20" ht="38.25" customHeight="1">
      <c r="A65" s="58" t="s">
        <v>26</v>
      </c>
      <c r="B65" s="79" t="s">
        <v>110</v>
      </c>
      <c r="C65" s="112" t="s">
        <v>104</v>
      </c>
      <c r="D65" s="138" t="s">
        <v>108</v>
      </c>
      <c r="E65" s="10"/>
      <c r="F65" s="10"/>
      <c r="G65" s="16" t="s">
        <v>157</v>
      </c>
      <c r="H65" s="16" t="s">
        <v>156</v>
      </c>
      <c r="I65" s="16" t="s">
        <v>90</v>
      </c>
      <c r="J65" s="16" t="s">
        <v>38</v>
      </c>
      <c r="K65" s="16" t="s">
        <v>39</v>
      </c>
      <c r="L65" s="63">
        <f>770600/1000</f>
        <v>770.6</v>
      </c>
      <c r="M65" s="62"/>
      <c r="N65" s="62"/>
      <c r="O65" s="63">
        <f>770600/1000</f>
        <v>770.6</v>
      </c>
      <c r="P65" s="63"/>
      <c r="Q65" s="63"/>
      <c r="R65" s="63"/>
      <c r="S65" s="63"/>
      <c r="T65" s="19">
        <v>300</v>
      </c>
    </row>
    <row r="66" spans="1:20" ht="61.5" customHeight="1">
      <c r="A66" s="58" t="s">
        <v>26</v>
      </c>
      <c r="B66" s="79" t="s">
        <v>110</v>
      </c>
      <c r="C66" s="112" t="s">
        <v>104</v>
      </c>
      <c r="D66" s="139"/>
      <c r="E66" s="10"/>
      <c r="F66" s="10"/>
      <c r="G66" s="16" t="s">
        <v>157</v>
      </c>
      <c r="H66" s="16" t="s">
        <v>156</v>
      </c>
      <c r="I66" s="16" t="s">
        <v>115</v>
      </c>
      <c r="J66" s="16" t="s">
        <v>38</v>
      </c>
      <c r="K66" s="16" t="s">
        <v>39</v>
      </c>
      <c r="L66" s="63">
        <f>3968000/1000</f>
        <v>3968</v>
      </c>
      <c r="M66" s="70"/>
      <c r="N66" s="70"/>
      <c r="O66" s="63">
        <f>3968000/1000</f>
        <v>3968</v>
      </c>
      <c r="P66" s="63">
        <f>684500/1000</f>
        <v>684.5</v>
      </c>
      <c r="Q66" s="63">
        <f>3636900/1000</f>
        <v>3636.9</v>
      </c>
      <c r="R66" s="63">
        <f>3636900/1000</f>
        <v>3636.9</v>
      </c>
      <c r="S66" s="63">
        <f>3636900/1000</f>
        <v>3636.9</v>
      </c>
      <c r="T66" s="19">
        <v>300</v>
      </c>
    </row>
    <row r="67" spans="1:21" ht="67.5">
      <c r="A67" s="58" t="s">
        <v>26</v>
      </c>
      <c r="B67" s="59" t="s">
        <v>64</v>
      </c>
      <c r="C67" s="41" t="s">
        <v>160</v>
      </c>
      <c r="D67" s="65" t="s">
        <v>61</v>
      </c>
      <c r="E67" s="15" t="s">
        <v>36</v>
      </c>
      <c r="F67" s="66">
        <v>40909</v>
      </c>
      <c r="G67" s="25" t="s">
        <v>158</v>
      </c>
      <c r="H67" s="25" t="s">
        <v>153</v>
      </c>
      <c r="I67" s="25" t="s">
        <v>65</v>
      </c>
      <c r="J67" s="25" t="s">
        <v>63</v>
      </c>
      <c r="K67" s="25" t="s">
        <v>53</v>
      </c>
      <c r="L67" s="67">
        <f>437100/1000</f>
        <v>437.1</v>
      </c>
      <c r="M67" s="67">
        <f>318968/1000</f>
        <v>318.968</v>
      </c>
      <c r="N67" s="67">
        <f>316724.42/1000</f>
        <v>316.72442</v>
      </c>
      <c r="O67" s="67">
        <f>437100/1000</f>
        <v>437.1</v>
      </c>
      <c r="P67" s="67">
        <f>53654/1000</f>
        <v>53.654</v>
      </c>
      <c r="Q67" s="67">
        <f>257100/1000</f>
        <v>257.1</v>
      </c>
      <c r="R67" s="67">
        <f>257100/1000</f>
        <v>257.1</v>
      </c>
      <c r="S67" s="67">
        <f>257100/1000</f>
        <v>257.1</v>
      </c>
      <c r="T67" s="21">
        <v>300</v>
      </c>
      <c r="U67" s="79"/>
    </row>
    <row r="68" spans="1:20" ht="90">
      <c r="A68" s="58" t="s">
        <v>26</v>
      </c>
      <c r="B68" s="79" t="s">
        <v>117</v>
      </c>
      <c r="C68" s="41" t="s">
        <v>165</v>
      </c>
      <c r="D68" s="81" t="s">
        <v>116</v>
      </c>
      <c r="E68" s="10" t="s">
        <v>36</v>
      </c>
      <c r="F68" s="13">
        <v>40543</v>
      </c>
      <c r="G68" s="16" t="s">
        <v>157</v>
      </c>
      <c r="H68" s="16" t="s">
        <v>156</v>
      </c>
      <c r="I68" s="16" t="s">
        <v>118</v>
      </c>
      <c r="J68" s="16" t="s">
        <v>38</v>
      </c>
      <c r="K68" s="16" t="s">
        <v>39</v>
      </c>
      <c r="L68" s="63">
        <f>476700/1000</f>
        <v>476.7</v>
      </c>
      <c r="M68" s="62">
        <f>2889400/1000</f>
        <v>2889.4</v>
      </c>
      <c r="N68" s="62">
        <f>2842352.79/1000</f>
        <v>2842.35279</v>
      </c>
      <c r="O68" s="63">
        <f>476700/1000</f>
        <v>476.7</v>
      </c>
      <c r="P68" s="63">
        <f>466127.33/1000</f>
        <v>466.12733000000003</v>
      </c>
      <c r="Q68" s="63"/>
      <c r="R68" s="63"/>
      <c r="S68" s="63"/>
      <c r="T68" s="19">
        <v>300</v>
      </c>
    </row>
    <row r="69" spans="1:20" ht="52.5" customHeight="1">
      <c r="A69" s="58" t="s">
        <v>26</v>
      </c>
      <c r="B69" s="79" t="s">
        <v>111</v>
      </c>
      <c r="C69" s="41" t="s">
        <v>163</v>
      </c>
      <c r="D69" s="137" t="s">
        <v>164</v>
      </c>
      <c r="E69" s="10"/>
      <c r="F69" s="10"/>
      <c r="G69" s="16" t="s">
        <v>157</v>
      </c>
      <c r="H69" s="16" t="s">
        <v>156</v>
      </c>
      <c r="I69" s="16" t="s">
        <v>112</v>
      </c>
      <c r="J69" s="16" t="s">
        <v>73</v>
      </c>
      <c r="K69" s="16" t="s">
        <v>39</v>
      </c>
      <c r="L69" s="63">
        <f>15268100/1000</f>
        <v>15268.1</v>
      </c>
      <c r="M69" s="62">
        <f>15897800/1000</f>
        <v>15897.8</v>
      </c>
      <c r="N69" s="62">
        <f>15897800/1000</f>
        <v>15897.8</v>
      </c>
      <c r="O69" s="63">
        <f>15268100/1000</f>
        <v>15268.1</v>
      </c>
      <c r="P69" s="63">
        <f>3270000/1000</f>
        <v>3270</v>
      </c>
      <c r="Q69" s="63">
        <f>15800800/1000</f>
        <v>15800.8</v>
      </c>
      <c r="R69" s="63">
        <f>15800800/1000</f>
        <v>15800.8</v>
      </c>
      <c r="S69" s="63">
        <f>15800800/1000</f>
        <v>15800.8</v>
      </c>
      <c r="T69" s="19">
        <v>300</v>
      </c>
    </row>
    <row r="70" spans="1:20" ht="77.25" customHeight="1">
      <c r="A70" s="58" t="s">
        <v>26</v>
      </c>
      <c r="B70" s="79" t="s">
        <v>111</v>
      </c>
      <c r="C70" s="41" t="s">
        <v>163</v>
      </c>
      <c r="D70" s="137"/>
      <c r="E70" s="10"/>
      <c r="F70" s="10"/>
      <c r="G70" s="16" t="s">
        <v>157</v>
      </c>
      <c r="H70" s="16" t="s">
        <v>156</v>
      </c>
      <c r="I70" s="16" t="s">
        <v>112</v>
      </c>
      <c r="J70" s="16" t="s">
        <v>38</v>
      </c>
      <c r="K70" s="16" t="s">
        <v>39</v>
      </c>
      <c r="L70" s="17">
        <f>1500000/1000</f>
        <v>1500</v>
      </c>
      <c r="M70" s="70"/>
      <c r="N70" s="70"/>
      <c r="O70" s="17">
        <f>1500000/1000</f>
        <v>1500</v>
      </c>
      <c r="P70" s="19"/>
      <c r="Q70" s="19"/>
      <c r="R70" s="19"/>
      <c r="S70" s="19"/>
      <c r="T70" s="19">
        <v>300</v>
      </c>
    </row>
    <row r="71" spans="1:20" ht="52.5" customHeight="1">
      <c r="A71" s="58" t="s">
        <v>26</v>
      </c>
      <c r="B71" s="79" t="s">
        <v>111</v>
      </c>
      <c r="C71" s="41" t="s">
        <v>163</v>
      </c>
      <c r="D71" s="137"/>
      <c r="E71" s="10"/>
      <c r="F71" s="10"/>
      <c r="G71" s="16" t="s">
        <v>157</v>
      </c>
      <c r="H71" s="16" t="s">
        <v>157</v>
      </c>
      <c r="I71" s="16" t="s">
        <v>112</v>
      </c>
      <c r="J71" s="16" t="s">
        <v>31</v>
      </c>
      <c r="K71" s="16" t="s">
        <v>60</v>
      </c>
      <c r="L71" s="63">
        <f>416000/1000</f>
        <v>416</v>
      </c>
      <c r="M71" s="62">
        <f>490850/1000</f>
        <v>490.85</v>
      </c>
      <c r="N71" s="62">
        <f>488195/1000</f>
        <v>488.195</v>
      </c>
      <c r="O71" s="63">
        <f>416000/1000</f>
        <v>416</v>
      </c>
      <c r="P71" s="63">
        <v>0</v>
      </c>
      <c r="Q71" s="63"/>
      <c r="R71" s="63"/>
      <c r="S71" s="63"/>
      <c r="T71" s="19">
        <v>300</v>
      </c>
    </row>
    <row r="72" spans="1:20" ht="33.75">
      <c r="A72" s="60" t="s">
        <v>26</v>
      </c>
      <c r="B72" s="79" t="s">
        <v>111</v>
      </c>
      <c r="C72" s="87" t="s">
        <v>163</v>
      </c>
      <c r="D72" s="137"/>
      <c r="E72" s="10"/>
      <c r="F72" s="10"/>
      <c r="G72" s="16" t="s">
        <v>157</v>
      </c>
      <c r="H72" s="16" t="s">
        <v>157</v>
      </c>
      <c r="I72" s="16" t="s">
        <v>112</v>
      </c>
      <c r="J72" s="16" t="s">
        <v>38</v>
      </c>
      <c r="K72" s="16" t="s">
        <v>39</v>
      </c>
      <c r="L72" s="63">
        <f>723000/1000</f>
        <v>723</v>
      </c>
      <c r="M72" s="62">
        <f>741650/1000</f>
        <v>741.65</v>
      </c>
      <c r="N72" s="62">
        <f>741650/1000</f>
        <v>741.65</v>
      </c>
      <c r="O72" s="63">
        <f>723000/1000</f>
        <v>723</v>
      </c>
      <c r="P72" s="63">
        <v>0</v>
      </c>
      <c r="Q72" s="63"/>
      <c r="R72" s="63"/>
      <c r="S72" s="63"/>
      <c r="T72" s="19">
        <v>300</v>
      </c>
    </row>
    <row r="73" spans="1:20" ht="33.75">
      <c r="A73" s="60" t="s">
        <v>26</v>
      </c>
      <c r="B73" s="79" t="s">
        <v>111</v>
      </c>
      <c r="C73" s="87" t="s">
        <v>163</v>
      </c>
      <c r="D73" s="88"/>
      <c r="E73" s="64" t="s">
        <v>136</v>
      </c>
      <c r="F73" s="13">
        <v>39056</v>
      </c>
      <c r="G73" s="16" t="s">
        <v>158</v>
      </c>
      <c r="H73" s="16" t="s">
        <v>153</v>
      </c>
      <c r="I73" s="16" t="s">
        <v>112</v>
      </c>
      <c r="J73" s="16" t="s">
        <v>63</v>
      </c>
      <c r="K73" s="16" t="s">
        <v>137</v>
      </c>
      <c r="L73" s="63">
        <f>1051200/1000</f>
        <v>1051.2</v>
      </c>
      <c r="M73" s="62">
        <f>510900/1000</f>
        <v>510.9</v>
      </c>
      <c r="N73" s="62">
        <f>510900/1000</f>
        <v>510.9</v>
      </c>
      <c r="O73" s="63">
        <f>1051200/1000</f>
        <v>1051.2</v>
      </c>
      <c r="P73" s="63">
        <f>121090.63/1000</f>
        <v>121.09063</v>
      </c>
      <c r="Q73" s="63"/>
      <c r="R73" s="63"/>
      <c r="S73" s="63"/>
      <c r="T73" s="19">
        <v>300</v>
      </c>
    </row>
    <row r="74" spans="1:20" ht="78.75">
      <c r="A74" s="58" t="s">
        <v>26</v>
      </c>
      <c r="B74" s="79" t="s">
        <v>103</v>
      </c>
      <c r="C74" s="65" t="s">
        <v>104</v>
      </c>
      <c r="D74" s="65" t="s">
        <v>105</v>
      </c>
      <c r="E74" s="15" t="s">
        <v>106</v>
      </c>
      <c r="F74" s="66">
        <v>39448</v>
      </c>
      <c r="G74" s="25" t="s">
        <v>157</v>
      </c>
      <c r="H74" s="25" t="s">
        <v>149</v>
      </c>
      <c r="I74" s="25" t="s">
        <v>107</v>
      </c>
      <c r="J74" s="25" t="s">
        <v>73</v>
      </c>
      <c r="K74" s="25" t="s">
        <v>39</v>
      </c>
      <c r="L74" s="67">
        <f>182700/1000</f>
        <v>182.7</v>
      </c>
      <c r="M74" s="67">
        <f>83400/1000</f>
        <v>83.4</v>
      </c>
      <c r="N74" s="67">
        <f>71216.36/1000</f>
        <v>71.21636</v>
      </c>
      <c r="O74" s="67">
        <f>182700/1000</f>
        <v>182.7</v>
      </c>
      <c r="P74" s="67">
        <f>14772.21/1000</f>
        <v>14.77221</v>
      </c>
      <c r="Q74" s="67">
        <f>152300/1000</f>
        <v>152.3</v>
      </c>
      <c r="R74" s="67">
        <f>152300/1000</f>
        <v>152.3</v>
      </c>
      <c r="S74" s="67">
        <f>152300/1000</f>
        <v>152.3</v>
      </c>
      <c r="T74" s="21">
        <v>300</v>
      </c>
    </row>
    <row r="75" spans="1:20" ht="135">
      <c r="A75" s="58" t="s">
        <v>26</v>
      </c>
      <c r="B75" s="79" t="s">
        <v>113</v>
      </c>
      <c r="C75" s="41" t="s">
        <v>166</v>
      </c>
      <c r="D75" s="89" t="s">
        <v>108</v>
      </c>
      <c r="E75" s="10" t="s">
        <v>106</v>
      </c>
      <c r="F75" s="13">
        <v>39448</v>
      </c>
      <c r="G75" s="16" t="s">
        <v>157</v>
      </c>
      <c r="H75" s="16" t="s">
        <v>156</v>
      </c>
      <c r="I75" s="16" t="s">
        <v>114</v>
      </c>
      <c r="J75" s="16" t="s">
        <v>73</v>
      </c>
      <c r="K75" s="16" t="s">
        <v>39</v>
      </c>
      <c r="L75" s="63">
        <f>25285900/1000</f>
        <v>25285.9</v>
      </c>
      <c r="M75" s="62">
        <f>19231300/1000</f>
        <v>19231.3</v>
      </c>
      <c r="N75" s="62">
        <f>19231300/1000</f>
        <v>19231.3</v>
      </c>
      <c r="O75" s="63">
        <f>25285900/1000</f>
        <v>25285.9</v>
      </c>
      <c r="P75" s="63">
        <f>5010000/1000</f>
        <v>5010</v>
      </c>
      <c r="Q75" s="63">
        <f>16377900/1000</f>
        <v>16377.9</v>
      </c>
      <c r="R75" s="63">
        <f>16377900/1000</f>
        <v>16377.9</v>
      </c>
      <c r="S75" s="63">
        <f>16377900/1000</f>
        <v>16377.9</v>
      </c>
      <c r="T75" s="19">
        <v>300</v>
      </c>
    </row>
    <row r="76" spans="1:20" ht="105.75" customHeight="1">
      <c r="A76" s="58" t="s">
        <v>26</v>
      </c>
      <c r="B76" s="79" t="s">
        <v>138</v>
      </c>
      <c r="C76" s="41" t="s">
        <v>167</v>
      </c>
      <c r="D76" s="89" t="s">
        <v>135</v>
      </c>
      <c r="E76" s="13" t="s">
        <v>41</v>
      </c>
      <c r="F76" s="13">
        <v>38409</v>
      </c>
      <c r="G76" s="16" t="s">
        <v>158</v>
      </c>
      <c r="H76" s="16" t="s">
        <v>153</v>
      </c>
      <c r="I76" s="16" t="s">
        <v>139</v>
      </c>
      <c r="J76" s="16" t="s">
        <v>63</v>
      </c>
      <c r="K76" s="16" t="s">
        <v>137</v>
      </c>
      <c r="L76" s="63">
        <f>927900/1000</f>
        <v>927.9</v>
      </c>
      <c r="M76" s="62">
        <f>818400/1000</f>
        <v>818.4</v>
      </c>
      <c r="N76" s="62">
        <f>818400/1000</f>
        <v>818.4</v>
      </c>
      <c r="O76" s="63">
        <f>927900/1000</f>
        <v>927.9</v>
      </c>
      <c r="P76" s="63">
        <f>188100/1000</f>
        <v>188.1</v>
      </c>
      <c r="Q76" s="63">
        <f>936300/1000</f>
        <v>936.3</v>
      </c>
      <c r="R76" s="63">
        <f>936300/1000</f>
        <v>936.3</v>
      </c>
      <c r="S76" s="63">
        <f>936300/1000</f>
        <v>936.3</v>
      </c>
      <c r="T76" s="19">
        <v>300</v>
      </c>
    </row>
    <row r="77" spans="1:20" ht="89.25" customHeight="1">
      <c r="A77" s="58" t="s">
        <v>26</v>
      </c>
      <c r="B77" s="79" t="s">
        <v>109</v>
      </c>
      <c r="C77" s="41" t="s">
        <v>168</v>
      </c>
      <c r="D77" s="89" t="s">
        <v>108</v>
      </c>
      <c r="E77" s="10"/>
      <c r="F77" s="13">
        <v>39433</v>
      </c>
      <c r="G77" s="16" t="s">
        <v>157</v>
      </c>
      <c r="H77" s="16" t="s">
        <v>156</v>
      </c>
      <c r="I77" s="16" t="s">
        <v>90</v>
      </c>
      <c r="J77" s="16" t="s">
        <v>73</v>
      </c>
      <c r="K77" s="16" t="s">
        <v>39</v>
      </c>
      <c r="L77" s="63">
        <f>(159643200+1724300)/1000</f>
        <v>161367.5</v>
      </c>
      <c r="M77" s="62">
        <f>(131583200+4872500)/1000</f>
        <v>136455.7</v>
      </c>
      <c r="N77" s="62">
        <f>(131583200+4872500)/1000</f>
        <v>136455.7</v>
      </c>
      <c r="O77" s="63">
        <f>(159643200+1724300)/1000</f>
        <v>161367.5</v>
      </c>
      <c r="P77" s="63">
        <f>(28880000+197525)/1000</f>
        <v>29077.525</v>
      </c>
      <c r="Q77" s="63">
        <f>144915400/1000</f>
        <v>144915.4</v>
      </c>
      <c r="R77" s="63">
        <f>144915400/1000</f>
        <v>144915.4</v>
      </c>
      <c r="S77" s="63">
        <f>144915400/1000</f>
        <v>144915.4</v>
      </c>
      <c r="T77" s="19">
        <v>300</v>
      </c>
    </row>
    <row r="78" spans="1:20" ht="61.5" customHeight="1">
      <c r="A78" s="58" t="s">
        <v>26</v>
      </c>
      <c r="B78" s="79" t="s">
        <v>130</v>
      </c>
      <c r="C78" s="41" t="s">
        <v>169</v>
      </c>
      <c r="D78" s="90" t="s">
        <v>122</v>
      </c>
      <c r="E78" s="15"/>
      <c r="F78" s="15"/>
      <c r="G78" s="25" t="s">
        <v>157</v>
      </c>
      <c r="H78" s="25" t="s">
        <v>156</v>
      </c>
      <c r="I78" s="25" t="s">
        <v>123</v>
      </c>
      <c r="J78" s="25" t="s">
        <v>38</v>
      </c>
      <c r="K78" s="25" t="s">
        <v>39</v>
      </c>
      <c r="L78" s="67"/>
      <c r="M78" s="67">
        <f>2359400/1000</f>
        <v>2359.4</v>
      </c>
      <c r="N78" s="67">
        <f>2359400/1000</f>
        <v>2359.4</v>
      </c>
      <c r="O78" s="21"/>
      <c r="P78" s="21"/>
      <c r="Q78" s="21"/>
      <c r="R78" s="21"/>
      <c r="S78" s="21"/>
      <c r="T78" s="21">
        <v>300</v>
      </c>
    </row>
    <row r="79" spans="1:20" ht="36" customHeight="1">
      <c r="A79" s="58" t="s">
        <v>26</v>
      </c>
      <c r="B79" s="79" t="s">
        <v>130</v>
      </c>
      <c r="C79" s="41" t="s">
        <v>169</v>
      </c>
      <c r="D79" s="115" t="s">
        <v>170</v>
      </c>
      <c r="E79" s="10"/>
      <c r="F79" s="10"/>
      <c r="G79" s="16" t="s">
        <v>157</v>
      </c>
      <c r="H79" s="16" t="s">
        <v>157</v>
      </c>
      <c r="I79" s="16" t="s">
        <v>131</v>
      </c>
      <c r="J79" s="16" t="s">
        <v>31</v>
      </c>
      <c r="K79" s="16" t="s">
        <v>53</v>
      </c>
      <c r="L79" s="63">
        <f>10000/1000</f>
        <v>10</v>
      </c>
      <c r="M79" s="62">
        <f>3568.78/1000</f>
        <v>3.5687800000000003</v>
      </c>
      <c r="N79" s="62">
        <f>3500/1000</f>
        <v>3.5</v>
      </c>
      <c r="O79" s="63">
        <f>10000/1000</f>
        <v>10</v>
      </c>
      <c r="P79" s="63"/>
      <c r="Q79" s="63">
        <f>10000/1000</f>
        <v>10</v>
      </c>
      <c r="R79" s="63">
        <f>10000/1000</f>
        <v>10</v>
      </c>
      <c r="S79" s="63">
        <f>10000/1000</f>
        <v>10</v>
      </c>
      <c r="T79" s="19">
        <v>300</v>
      </c>
    </row>
    <row r="80" spans="1:20" ht="22.5">
      <c r="A80" s="58" t="s">
        <v>26</v>
      </c>
      <c r="B80" s="79" t="s">
        <v>130</v>
      </c>
      <c r="C80" s="41" t="s">
        <v>169</v>
      </c>
      <c r="D80" s="115"/>
      <c r="E80" s="10"/>
      <c r="F80" s="10"/>
      <c r="G80" s="16" t="s">
        <v>157</v>
      </c>
      <c r="H80" s="16" t="s">
        <v>157</v>
      </c>
      <c r="I80" s="16" t="s">
        <v>131</v>
      </c>
      <c r="J80" s="16" t="s">
        <v>31</v>
      </c>
      <c r="K80" s="16" t="s">
        <v>60</v>
      </c>
      <c r="L80" s="63">
        <f>190000/1000</f>
        <v>190</v>
      </c>
      <c r="M80" s="62">
        <f>65276.2/1000</f>
        <v>65.2762</v>
      </c>
      <c r="N80" s="62">
        <f>61493.48/1000</f>
        <v>61.493480000000005</v>
      </c>
      <c r="O80" s="63">
        <f>190000/1000</f>
        <v>190</v>
      </c>
      <c r="P80" s="63"/>
      <c r="Q80" s="63">
        <f>190000/1000</f>
        <v>190</v>
      </c>
      <c r="R80" s="63">
        <f>190000/1000</f>
        <v>190</v>
      </c>
      <c r="S80" s="63">
        <f>190000/1000</f>
        <v>190</v>
      </c>
      <c r="T80" s="19">
        <v>300</v>
      </c>
    </row>
    <row r="81" spans="1:20" ht="22.5">
      <c r="A81" s="58" t="s">
        <v>26</v>
      </c>
      <c r="B81" s="79" t="s">
        <v>130</v>
      </c>
      <c r="C81" s="41" t="s">
        <v>169</v>
      </c>
      <c r="D81" s="115"/>
      <c r="E81" s="10"/>
      <c r="F81" s="10"/>
      <c r="G81" s="16" t="s">
        <v>157</v>
      </c>
      <c r="H81" s="16" t="s">
        <v>157</v>
      </c>
      <c r="I81" s="16" t="s">
        <v>131</v>
      </c>
      <c r="J81" s="16" t="s">
        <v>38</v>
      </c>
      <c r="K81" s="16" t="s">
        <v>39</v>
      </c>
      <c r="L81" s="63"/>
      <c r="M81" s="62">
        <f>578155.02/1000</f>
        <v>578.15502</v>
      </c>
      <c r="N81" s="62">
        <f>578152.52/1000</f>
        <v>578.15252</v>
      </c>
      <c r="O81" s="63"/>
      <c r="P81" s="63"/>
      <c r="Q81" s="63"/>
      <c r="R81" s="63"/>
      <c r="S81" s="63"/>
      <c r="T81" s="19">
        <v>300</v>
      </c>
    </row>
    <row r="82" spans="1:20" ht="15.75" customHeight="1">
      <c r="A82" s="58" t="s">
        <v>26</v>
      </c>
      <c r="B82" s="79" t="s">
        <v>133</v>
      </c>
      <c r="C82" s="44" t="s">
        <v>171</v>
      </c>
      <c r="D82" s="115" t="s">
        <v>105</v>
      </c>
      <c r="E82" s="10"/>
      <c r="F82" s="13"/>
      <c r="G82" s="16" t="s">
        <v>157</v>
      </c>
      <c r="H82" s="16" t="s">
        <v>154</v>
      </c>
      <c r="I82" s="16" t="s">
        <v>134</v>
      </c>
      <c r="J82" s="16" t="s">
        <v>31</v>
      </c>
      <c r="K82" s="16" t="s">
        <v>52</v>
      </c>
      <c r="L82" s="63">
        <f>678900/1000</f>
        <v>678.9</v>
      </c>
      <c r="M82" s="62">
        <f>601912.51/1000</f>
        <v>601.91251</v>
      </c>
      <c r="N82" s="62">
        <f>601912.51/1000</f>
        <v>601.91251</v>
      </c>
      <c r="O82" s="63">
        <f>678900/1000</f>
        <v>678.9</v>
      </c>
      <c r="P82" s="63">
        <f>109826.73/1000</f>
        <v>109.82673</v>
      </c>
      <c r="Q82" s="63">
        <f>608900/1000</f>
        <v>608.9</v>
      </c>
      <c r="R82" s="63">
        <f>608900/1000</f>
        <v>608.9</v>
      </c>
      <c r="S82" s="63">
        <f>608900/1000</f>
        <v>608.9</v>
      </c>
      <c r="T82" s="19">
        <v>300</v>
      </c>
    </row>
    <row r="83" spans="1:20" ht="22.5">
      <c r="A83" s="58" t="s">
        <v>26</v>
      </c>
      <c r="B83" s="79" t="s">
        <v>133</v>
      </c>
      <c r="C83" s="44" t="s">
        <v>171</v>
      </c>
      <c r="D83" s="115"/>
      <c r="E83" s="10"/>
      <c r="F83" s="10"/>
      <c r="G83" s="16" t="s">
        <v>157</v>
      </c>
      <c r="H83" s="16" t="s">
        <v>154</v>
      </c>
      <c r="I83" s="16" t="s">
        <v>134</v>
      </c>
      <c r="J83" s="16" t="s">
        <v>31</v>
      </c>
      <c r="K83" s="16" t="s">
        <v>53</v>
      </c>
      <c r="L83" s="63">
        <f>3000/1000</f>
        <v>3</v>
      </c>
      <c r="M83" s="62">
        <f>3142/1000</f>
        <v>3.142</v>
      </c>
      <c r="N83" s="62">
        <f>3142/1000</f>
        <v>3.142</v>
      </c>
      <c r="O83" s="63">
        <f>3000/1000</f>
        <v>3</v>
      </c>
      <c r="P83" s="63">
        <f>1000/1000</f>
        <v>1</v>
      </c>
      <c r="Q83" s="63">
        <f>3000/1000</f>
        <v>3</v>
      </c>
      <c r="R83" s="63">
        <f>3000/1000</f>
        <v>3</v>
      </c>
      <c r="S83" s="63">
        <f>3000/1000</f>
        <v>3</v>
      </c>
      <c r="T83" s="19">
        <v>300</v>
      </c>
    </row>
    <row r="84" spans="1:20" ht="22.5">
      <c r="A84" s="58" t="s">
        <v>26</v>
      </c>
      <c r="B84" s="79" t="s">
        <v>133</v>
      </c>
      <c r="C84" s="44" t="s">
        <v>171</v>
      </c>
      <c r="D84" s="115"/>
      <c r="E84" s="10"/>
      <c r="F84" s="10"/>
      <c r="G84" s="16" t="s">
        <v>157</v>
      </c>
      <c r="H84" s="16" t="s">
        <v>154</v>
      </c>
      <c r="I84" s="16" t="s">
        <v>134</v>
      </c>
      <c r="J84" s="16" t="s">
        <v>31</v>
      </c>
      <c r="K84" s="16" t="s">
        <v>54</v>
      </c>
      <c r="L84" s="63">
        <f>205100/1000</f>
        <v>205.1</v>
      </c>
      <c r="M84" s="62">
        <f>176583.1/1000</f>
        <v>176.5831</v>
      </c>
      <c r="N84" s="62">
        <f>176583.1/1000</f>
        <v>176.5831</v>
      </c>
      <c r="O84" s="63">
        <f>205100/1000</f>
        <v>205.1</v>
      </c>
      <c r="P84" s="63">
        <f>38597.04/1000</f>
        <v>38.59704</v>
      </c>
      <c r="Q84" s="63">
        <f>184000/1000</f>
        <v>184</v>
      </c>
      <c r="R84" s="63">
        <f>184000/1000</f>
        <v>184</v>
      </c>
      <c r="S84" s="63">
        <f>184000/1000</f>
        <v>184</v>
      </c>
      <c r="T84" s="19">
        <v>300</v>
      </c>
    </row>
    <row r="85" spans="1:20" ht="22.5">
      <c r="A85" s="58" t="s">
        <v>26</v>
      </c>
      <c r="B85" s="79" t="s">
        <v>133</v>
      </c>
      <c r="C85" s="44" t="s">
        <v>171</v>
      </c>
      <c r="D85" s="115"/>
      <c r="E85" s="10"/>
      <c r="F85" s="10"/>
      <c r="G85" s="16" t="s">
        <v>157</v>
      </c>
      <c r="H85" s="16" t="s">
        <v>154</v>
      </c>
      <c r="I85" s="16" t="s">
        <v>134</v>
      </c>
      <c r="J85" s="16" t="s">
        <v>31</v>
      </c>
      <c r="K85" s="16" t="s">
        <v>55</v>
      </c>
      <c r="L85" s="63">
        <f>4000/1000</f>
        <v>4</v>
      </c>
      <c r="M85" s="62">
        <f>13876.29/1000</f>
        <v>13.876290000000001</v>
      </c>
      <c r="N85" s="62">
        <f>13876.29/1000</f>
        <v>13.876290000000001</v>
      </c>
      <c r="O85" s="63">
        <f>4000/1000</f>
        <v>4</v>
      </c>
      <c r="P85" s="63"/>
      <c r="Q85" s="63">
        <f>4000/1000</f>
        <v>4</v>
      </c>
      <c r="R85" s="63">
        <f>4000/1000</f>
        <v>4</v>
      </c>
      <c r="S85" s="63">
        <f>4000/1000</f>
        <v>4</v>
      </c>
      <c r="T85" s="19">
        <v>300</v>
      </c>
    </row>
    <row r="86" spans="1:20" ht="22.5">
      <c r="A86" s="58" t="s">
        <v>26</v>
      </c>
      <c r="B86" s="79" t="s">
        <v>133</v>
      </c>
      <c r="C86" s="44" t="s">
        <v>171</v>
      </c>
      <c r="D86" s="115"/>
      <c r="E86" s="10"/>
      <c r="F86" s="10"/>
      <c r="G86" s="16" t="s">
        <v>157</v>
      </c>
      <c r="H86" s="16" t="s">
        <v>154</v>
      </c>
      <c r="I86" s="16" t="s">
        <v>134</v>
      </c>
      <c r="J86" s="16" t="s">
        <v>31</v>
      </c>
      <c r="K86" s="16" t="s">
        <v>56</v>
      </c>
      <c r="L86" s="63">
        <f>3000/1000</f>
        <v>3</v>
      </c>
      <c r="M86" s="62">
        <f>234.1/1000</f>
        <v>0.2341</v>
      </c>
      <c r="N86" s="62">
        <f>234.1/1000</f>
        <v>0.2341</v>
      </c>
      <c r="O86" s="63">
        <f>3000/1000</f>
        <v>3</v>
      </c>
      <c r="P86" s="63">
        <f>750/1000</f>
        <v>0.75</v>
      </c>
      <c r="Q86" s="63">
        <f aca="true" t="shared" si="0" ref="Q86:S87">3000/1000</f>
        <v>3</v>
      </c>
      <c r="R86" s="63">
        <f t="shared" si="0"/>
        <v>3</v>
      </c>
      <c r="S86" s="63">
        <f t="shared" si="0"/>
        <v>3</v>
      </c>
      <c r="T86" s="19">
        <v>300</v>
      </c>
    </row>
    <row r="87" spans="1:20" ht="22.5">
      <c r="A87" s="58" t="s">
        <v>26</v>
      </c>
      <c r="B87" s="79" t="s">
        <v>133</v>
      </c>
      <c r="C87" s="44" t="s">
        <v>171</v>
      </c>
      <c r="D87" s="115"/>
      <c r="E87" s="10"/>
      <c r="F87" s="10"/>
      <c r="G87" s="16" t="s">
        <v>157</v>
      </c>
      <c r="H87" s="16" t="s">
        <v>154</v>
      </c>
      <c r="I87" s="16" t="s">
        <v>134</v>
      </c>
      <c r="J87" s="16" t="s">
        <v>31</v>
      </c>
      <c r="K87" s="16" t="s">
        <v>59</v>
      </c>
      <c r="L87" s="63">
        <f>10000/1000</f>
        <v>10</v>
      </c>
      <c r="M87" s="62"/>
      <c r="N87" s="62"/>
      <c r="O87" s="63">
        <f>10000/1000</f>
        <v>10</v>
      </c>
      <c r="P87" s="63"/>
      <c r="Q87" s="63">
        <f t="shared" si="0"/>
        <v>3</v>
      </c>
      <c r="R87" s="63">
        <f t="shared" si="0"/>
        <v>3</v>
      </c>
      <c r="S87" s="63">
        <f t="shared" si="0"/>
        <v>3</v>
      </c>
      <c r="T87" s="19">
        <v>300</v>
      </c>
    </row>
    <row r="88" spans="1:20" ht="22.5">
      <c r="A88" s="58" t="s">
        <v>26</v>
      </c>
      <c r="B88" s="79" t="s">
        <v>133</v>
      </c>
      <c r="C88" s="44" t="s">
        <v>171</v>
      </c>
      <c r="D88" s="115"/>
      <c r="E88" s="10"/>
      <c r="F88" s="10"/>
      <c r="G88" s="16" t="s">
        <v>157</v>
      </c>
      <c r="H88" s="16" t="s">
        <v>154</v>
      </c>
      <c r="I88" s="16" t="s">
        <v>134</v>
      </c>
      <c r="J88" s="16" t="s">
        <v>31</v>
      </c>
      <c r="K88" s="16" t="s">
        <v>60</v>
      </c>
      <c r="L88" s="63">
        <f>16000/1000</f>
        <v>16</v>
      </c>
      <c r="M88" s="62">
        <f>12280/1000</f>
        <v>12.28</v>
      </c>
      <c r="N88" s="62">
        <f>12280/1000</f>
        <v>12.28</v>
      </c>
      <c r="O88" s="63">
        <f>16000/1000</f>
        <v>16</v>
      </c>
      <c r="P88" s="63">
        <f>1000/1000</f>
        <v>1</v>
      </c>
      <c r="Q88" s="63">
        <f>2100/1000</f>
        <v>2.1</v>
      </c>
      <c r="R88" s="63">
        <f>2100/1000</f>
        <v>2.1</v>
      </c>
      <c r="S88" s="63">
        <f>2100/1000</f>
        <v>2.1</v>
      </c>
      <c r="T88" s="19">
        <v>300</v>
      </c>
    </row>
    <row r="89" spans="1:20" ht="22.5">
      <c r="A89" s="58" t="s">
        <v>26</v>
      </c>
      <c r="B89" s="79" t="s">
        <v>133</v>
      </c>
      <c r="C89" s="44" t="s">
        <v>171</v>
      </c>
      <c r="D89" s="115"/>
      <c r="E89" s="10"/>
      <c r="F89" s="10"/>
      <c r="G89" s="16" t="s">
        <v>157</v>
      </c>
      <c r="H89" s="16" t="s">
        <v>154</v>
      </c>
      <c r="I89" s="16" t="s">
        <v>134</v>
      </c>
      <c r="J89" s="16" t="s">
        <v>31</v>
      </c>
      <c r="K89" s="16" t="s">
        <v>101</v>
      </c>
      <c r="L89" s="63">
        <f>25100/1000</f>
        <v>25.1</v>
      </c>
      <c r="M89" s="62">
        <f>92227/1000</f>
        <v>92.227</v>
      </c>
      <c r="N89" s="62">
        <f>92227/1000</f>
        <v>92.227</v>
      </c>
      <c r="O89" s="63">
        <f>25100/1000</f>
        <v>25.1</v>
      </c>
      <c r="P89" s="63"/>
      <c r="Q89" s="63"/>
      <c r="R89" s="63"/>
      <c r="S89" s="63"/>
      <c r="T89" s="19"/>
    </row>
    <row r="90" spans="1:20" ht="22.5">
      <c r="A90" s="58" t="s">
        <v>26</v>
      </c>
      <c r="B90" s="79" t="s">
        <v>133</v>
      </c>
      <c r="C90" s="44" t="s">
        <v>171</v>
      </c>
      <c r="D90" s="115"/>
      <c r="E90" s="10"/>
      <c r="F90" s="10"/>
      <c r="G90" s="16" t="s">
        <v>157</v>
      </c>
      <c r="H90" s="16" t="s">
        <v>154</v>
      </c>
      <c r="I90" s="16" t="s">
        <v>134</v>
      </c>
      <c r="J90" s="16" t="s">
        <v>31</v>
      </c>
      <c r="K90" s="16" t="s">
        <v>34</v>
      </c>
      <c r="L90" s="63"/>
      <c r="M90" s="62">
        <f>44845/1000</f>
        <v>44.845</v>
      </c>
      <c r="N90" s="62">
        <f>44845/1000</f>
        <v>44.845</v>
      </c>
      <c r="O90" s="63"/>
      <c r="P90" s="63"/>
      <c r="Q90" s="63">
        <f>300/1000</f>
        <v>0.3</v>
      </c>
      <c r="R90" s="63">
        <f>300/1000</f>
        <v>0.3</v>
      </c>
      <c r="S90" s="63">
        <f>300/1000</f>
        <v>0.3</v>
      </c>
      <c r="T90" s="19">
        <v>300</v>
      </c>
    </row>
    <row r="91" spans="1:20" ht="51.75" customHeight="1">
      <c r="A91" s="58" t="s">
        <v>26</v>
      </c>
      <c r="B91" s="10" t="s">
        <v>143</v>
      </c>
      <c r="C91" s="44" t="s">
        <v>172</v>
      </c>
      <c r="D91" s="141" t="s">
        <v>140</v>
      </c>
      <c r="E91" s="71" t="s">
        <v>36</v>
      </c>
      <c r="F91" s="72">
        <v>39448</v>
      </c>
      <c r="G91" s="16" t="s">
        <v>158</v>
      </c>
      <c r="H91" s="16" t="s">
        <v>155</v>
      </c>
      <c r="I91" s="16" t="s">
        <v>144</v>
      </c>
      <c r="J91" s="16" t="s">
        <v>63</v>
      </c>
      <c r="K91" s="16" t="s">
        <v>60</v>
      </c>
      <c r="L91" s="63">
        <f>10800/1000</f>
        <v>10.8</v>
      </c>
      <c r="M91" s="62">
        <f>10220/1000</f>
        <v>10.22</v>
      </c>
      <c r="N91" s="62">
        <f>10178.34/1000</f>
        <v>10.17834</v>
      </c>
      <c r="O91" s="63">
        <f>10800/1000</f>
        <v>10.8</v>
      </c>
      <c r="P91" s="63">
        <f>2700/1000</f>
        <v>2.7</v>
      </c>
      <c r="Q91" s="63"/>
      <c r="R91" s="63"/>
      <c r="S91" s="63"/>
      <c r="T91" s="19">
        <v>300</v>
      </c>
    </row>
    <row r="92" spans="1:20" ht="78.75">
      <c r="A92" s="58" t="s">
        <v>26</v>
      </c>
      <c r="B92" s="10" t="s">
        <v>143</v>
      </c>
      <c r="C92" s="44" t="s">
        <v>172</v>
      </c>
      <c r="D92" s="141"/>
      <c r="E92" s="71" t="s">
        <v>36</v>
      </c>
      <c r="F92" s="72">
        <v>39448</v>
      </c>
      <c r="G92" s="16" t="s">
        <v>158</v>
      </c>
      <c r="H92" s="16" t="s">
        <v>155</v>
      </c>
      <c r="I92" s="16" t="s">
        <v>144</v>
      </c>
      <c r="J92" s="16" t="s">
        <v>63</v>
      </c>
      <c r="K92" s="16" t="s">
        <v>137</v>
      </c>
      <c r="L92" s="63">
        <f>1754500/1000</f>
        <v>1754.5</v>
      </c>
      <c r="M92" s="62">
        <f>2057480/1000</f>
        <v>2057.48</v>
      </c>
      <c r="N92" s="62">
        <f>2035670.97/1000</f>
        <v>2035.67097</v>
      </c>
      <c r="O92" s="63">
        <f>1754500/1000</f>
        <v>1754.5</v>
      </c>
      <c r="P92" s="63">
        <f>570290.6/1000</f>
        <v>570.2905999999999</v>
      </c>
      <c r="Q92" s="63">
        <f aca="true" t="shared" si="1" ref="Q92:S93">2156000/1000</f>
        <v>2156</v>
      </c>
      <c r="R92" s="63">
        <f t="shared" si="1"/>
        <v>2156</v>
      </c>
      <c r="S92" s="63">
        <f t="shared" si="1"/>
        <v>2156</v>
      </c>
      <c r="T92" s="19">
        <v>300</v>
      </c>
    </row>
    <row r="93" spans="1:20" ht="78.75">
      <c r="A93" s="58" t="s">
        <v>26</v>
      </c>
      <c r="B93" s="10" t="s">
        <v>143</v>
      </c>
      <c r="C93" s="44" t="s">
        <v>172</v>
      </c>
      <c r="D93" s="141"/>
      <c r="E93" s="71" t="s">
        <v>36</v>
      </c>
      <c r="F93" s="72">
        <v>39448</v>
      </c>
      <c r="G93" s="16" t="s">
        <v>158</v>
      </c>
      <c r="H93" s="16" t="s">
        <v>155</v>
      </c>
      <c r="I93" s="16" t="s">
        <v>145</v>
      </c>
      <c r="J93" s="16" t="s">
        <v>63</v>
      </c>
      <c r="K93" s="16" t="s">
        <v>60</v>
      </c>
      <c r="L93" s="63">
        <f>2298900/1000</f>
        <v>2298.9</v>
      </c>
      <c r="M93" s="62">
        <f>2412000/1000</f>
        <v>2412</v>
      </c>
      <c r="N93" s="62">
        <f>2412000/1000</f>
        <v>2412</v>
      </c>
      <c r="O93" s="63">
        <f>2298900/1000</f>
        <v>2298.9</v>
      </c>
      <c r="P93" s="63">
        <f>657978.03/1000</f>
        <v>657.97803</v>
      </c>
      <c r="Q93" s="63">
        <f t="shared" si="1"/>
        <v>2156</v>
      </c>
      <c r="R93" s="63">
        <f t="shared" si="1"/>
        <v>2156</v>
      </c>
      <c r="S93" s="63">
        <f t="shared" si="1"/>
        <v>2156</v>
      </c>
      <c r="T93" s="19">
        <v>300</v>
      </c>
    </row>
    <row r="94" spans="1:20" ht="78.75">
      <c r="A94" s="58" t="s">
        <v>26</v>
      </c>
      <c r="B94" s="10" t="s">
        <v>143</v>
      </c>
      <c r="C94" s="44" t="s">
        <v>172</v>
      </c>
      <c r="D94" s="141"/>
      <c r="E94" s="71" t="s">
        <v>36</v>
      </c>
      <c r="F94" s="72">
        <v>39448</v>
      </c>
      <c r="G94" s="16" t="s">
        <v>158</v>
      </c>
      <c r="H94" s="16" t="s">
        <v>155</v>
      </c>
      <c r="I94" s="16" t="s">
        <v>146</v>
      </c>
      <c r="J94" s="16" t="s">
        <v>63</v>
      </c>
      <c r="K94" s="16" t="s">
        <v>60</v>
      </c>
      <c r="L94" s="63">
        <f>25000/1000</f>
        <v>25</v>
      </c>
      <c r="M94" s="62">
        <f>23600/1000</f>
        <v>23.6</v>
      </c>
      <c r="N94" s="62">
        <f>23283.08/1000</f>
        <v>23.28308</v>
      </c>
      <c r="O94" s="63">
        <f>25000/1000</f>
        <v>25</v>
      </c>
      <c r="P94" s="63">
        <f>5715.02/1000</f>
        <v>5.715020000000001</v>
      </c>
      <c r="Q94" s="63"/>
      <c r="R94" s="63"/>
      <c r="S94" s="63"/>
      <c r="T94" s="19">
        <v>300</v>
      </c>
    </row>
    <row r="95" spans="1:20" ht="78.75">
      <c r="A95" s="60" t="s">
        <v>26</v>
      </c>
      <c r="B95" s="10" t="s">
        <v>143</v>
      </c>
      <c r="C95" s="44" t="s">
        <v>172</v>
      </c>
      <c r="D95" s="141"/>
      <c r="E95" s="71" t="s">
        <v>36</v>
      </c>
      <c r="F95" s="72">
        <v>39448</v>
      </c>
      <c r="G95" s="16" t="s">
        <v>158</v>
      </c>
      <c r="H95" s="16" t="s">
        <v>155</v>
      </c>
      <c r="I95" s="16" t="s">
        <v>146</v>
      </c>
      <c r="J95" s="16" t="s">
        <v>63</v>
      </c>
      <c r="K95" s="16" t="s">
        <v>137</v>
      </c>
      <c r="L95" s="63">
        <f>3919000/1000</f>
        <v>3919</v>
      </c>
      <c r="M95" s="62">
        <f>4708400/1000</f>
        <v>4708.4</v>
      </c>
      <c r="N95" s="62">
        <f>4681374.29/1000</f>
        <v>4681.37429</v>
      </c>
      <c r="O95" s="63">
        <f>3919000/1000</f>
        <v>3919</v>
      </c>
      <c r="P95" s="63">
        <f>1135844.8/1000</f>
        <v>1135.8448</v>
      </c>
      <c r="Q95" s="63">
        <f>2156400/1000</f>
        <v>2156.4</v>
      </c>
      <c r="R95" s="63">
        <f>2156400/1000</f>
        <v>2156.4</v>
      </c>
      <c r="S95" s="63">
        <f>2156400/1000</f>
        <v>2156.4</v>
      </c>
      <c r="T95" s="19">
        <v>300</v>
      </c>
    </row>
    <row r="96" spans="1:20" s="91" customFormat="1" ht="65.25" customHeight="1">
      <c r="A96" s="58" t="s">
        <v>26</v>
      </c>
      <c r="B96" s="10" t="s">
        <v>141</v>
      </c>
      <c r="C96" s="44" t="s">
        <v>173</v>
      </c>
      <c r="D96" s="141"/>
      <c r="E96" s="71" t="s">
        <v>36</v>
      </c>
      <c r="F96" s="72">
        <v>39448</v>
      </c>
      <c r="G96" s="16" t="s">
        <v>158</v>
      </c>
      <c r="H96" s="16" t="s">
        <v>155</v>
      </c>
      <c r="I96" s="16" t="s">
        <v>142</v>
      </c>
      <c r="J96" s="16" t="s">
        <v>63</v>
      </c>
      <c r="K96" s="60" t="s">
        <v>55</v>
      </c>
      <c r="L96" s="62">
        <f>10000/1000</f>
        <v>10</v>
      </c>
      <c r="M96" s="62">
        <f>5980/1000</f>
        <v>5.98</v>
      </c>
      <c r="N96" s="62">
        <f>3605.41/1000</f>
        <v>3.60541</v>
      </c>
      <c r="O96" s="62">
        <f>10000/1000</f>
        <v>10</v>
      </c>
      <c r="P96" s="62">
        <f>711.8/1000</f>
        <v>0.7118</v>
      </c>
      <c r="Q96" s="61"/>
      <c r="R96" s="61"/>
      <c r="S96" s="61"/>
      <c r="T96" s="70">
        <v>300</v>
      </c>
    </row>
    <row r="97" spans="1:20" ht="67.5">
      <c r="A97" s="58" t="s">
        <v>26</v>
      </c>
      <c r="B97" s="10" t="s">
        <v>141</v>
      </c>
      <c r="C97" s="44" t="s">
        <v>173</v>
      </c>
      <c r="D97" s="141"/>
      <c r="E97" s="71" t="s">
        <v>36</v>
      </c>
      <c r="F97" s="72">
        <v>39448</v>
      </c>
      <c r="G97" s="16" t="s">
        <v>158</v>
      </c>
      <c r="H97" s="16" t="s">
        <v>155</v>
      </c>
      <c r="I97" s="16" t="s">
        <v>142</v>
      </c>
      <c r="J97" s="16" t="s">
        <v>63</v>
      </c>
      <c r="K97" s="16" t="s">
        <v>60</v>
      </c>
      <c r="L97" s="63">
        <f>30000/1000</f>
        <v>30</v>
      </c>
      <c r="M97" s="62">
        <f>25000/1000</f>
        <v>25</v>
      </c>
      <c r="N97" s="62">
        <f>21999.01/1000</f>
        <v>21.99901</v>
      </c>
      <c r="O97" s="63">
        <f>30000/1000</f>
        <v>30</v>
      </c>
      <c r="P97" s="63">
        <f>4888.12/1000</f>
        <v>4.88812</v>
      </c>
      <c r="Q97" s="63"/>
      <c r="R97" s="63"/>
      <c r="S97" s="63"/>
      <c r="T97" s="19">
        <v>300</v>
      </c>
    </row>
    <row r="98" spans="1:20" ht="67.5">
      <c r="A98" s="58" t="s">
        <v>26</v>
      </c>
      <c r="B98" s="10" t="s">
        <v>141</v>
      </c>
      <c r="C98" s="44" t="s">
        <v>173</v>
      </c>
      <c r="D98" s="141"/>
      <c r="E98" s="71" t="s">
        <v>36</v>
      </c>
      <c r="F98" s="72">
        <v>39448</v>
      </c>
      <c r="G98" s="16" t="s">
        <v>158</v>
      </c>
      <c r="H98" s="16" t="s">
        <v>155</v>
      </c>
      <c r="I98" s="16" t="s">
        <v>142</v>
      </c>
      <c r="J98" s="16" t="s">
        <v>63</v>
      </c>
      <c r="K98" s="16" t="s">
        <v>137</v>
      </c>
      <c r="L98" s="63">
        <f>4055700/1000</f>
        <v>4055.7</v>
      </c>
      <c r="M98" s="62">
        <f>4588920/1000</f>
        <v>4588.92</v>
      </c>
      <c r="N98" s="62">
        <f>4586311.01/1000</f>
        <v>4586.311009999999</v>
      </c>
      <c r="O98" s="63">
        <f>4055700/1000</f>
        <v>4055.7</v>
      </c>
      <c r="P98" s="63">
        <f>1013531.82/1000</f>
        <v>1013.5318199999999</v>
      </c>
      <c r="Q98" s="63">
        <f>3501600/1000</f>
        <v>3501.6</v>
      </c>
      <c r="R98" s="63">
        <f>3501600/1000</f>
        <v>3501.6</v>
      </c>
      <c r="S98" s="63">
        <f>3501600/1000</f>
        <v>3501.6</v>
      </c>
      <c r="T98" s="19">
        <v>300</v>
      </c>
    </row>
    <row r="99" spans="1:20" ht="52.5" customHeight="1">
      <c r="A99" s="58" t="s">
        <v>26</v>
      </c>
      <c r="B99" s="79" t="s">
        <v>128</v>
      </c>
      <c r="C99" s="44" t="s">
        <v>174</v>
      </c>
      <c r="D99" s="92" t="s">
        <v>127</v>
      </c>
      <c r="E99" s="10" t="s">
        <v>106</v>
      </c>
      <c r="F99" s="13">
        <v>39448</v>
      </c>
      <c r="G99" s="16" t="s">
        <v>157</v>
      </c>
      <c r="H99" s="16" t="s">
        <v>157</v>
      </c>
      <c r="I99" s="16" t="s">
        <v>129</v>
      </c>
      <c r="J99" s="16" t="s">
        <v>31</v>
      </c>
      <c r="K99" s="16" t="s">
        <v>39</v>
      </c>
      <c r="L99" s="63"/>
      <c r="M99" s="62">
        <f>(181300+483063.05)/1000</f>
        <v>664.36305</v>
      </c>
      <c r="N99" s="62">
        <f>664363.05/1000</f>
        <v>664.36305</v>
      </c>
      <c r="O99" s="63"/>
      <c r="P99" s="63"/>
      <c r="Q99" s="63"/>
      <c r="R99" s="63"/>
      <c r="S99" s="63"/>
      <c r="T99" s="19">
        <v>300</v>
      </c>
    </row>
    <row r="100" spans="1:20" ht="30" customHeight="1">
      <c r="A100" s="58" t="s">
        <v>26</v>
      </c>
      <c r="B100" s="79" t="s">
        <v>128</v>
      </c>
      <c r="C100" s="44" t="s">
        <v>174</v>
      </c>
      <c r="D100" s="115" t="s">
        <v>175</v>
      </c>
      <c r="E100" s="10"/>
      <c r="F100" s="13"/>
      <c r="G100" s="16" t="s">
        <v>157</v>
      </c>
      <c r="H100" s="16" t="s">
        <v>157</v>
      </c>
      <c r="I100" s="16" t="s">
        <v>131</v>
      </c>
      <c r="J100" s="16" t="s">
        <v>38</v>
      </c>
      <c r="K100" s="16" t="s">
        <v>39</v>
      </c>
      <c r="L100" s="63">
        <f>700000/1000</f>
        <v>700</v>
      </c>
      <c r="M100" s="62">
        <f>(1052420.42-578155.02)/1000</f>
        <v>474.2653999999999</v>
      </c>
      <c r="N100" s="62">
        <f>(1052417.92-578152.52)/1000</f>
        <v>474.2653999999999</v>
      </c>
      <c r="O100" s="63">
        <f>700000/1000</f>
        <v>700</v>
      </c>
      <c r="P100" s="63"/>
      <c r="Q100" s="63">
        <f>700000/1000</f>
        <v>700</v>
      </c>
      <c r="R100" s="63">
        <f>700000/1000</f>
        <v>700</v>
      </c>
      <c r="S100" s="63">
        <f>700000/1000</f>
        <v>700</v>
      </c>
      <c r="T100" s="19">
        <v>300</v>
      </c>
    </row>
    <row r="101" spans="1:20" ht="22.5">
      <c r="A101" s="58" t="s">
        <v>26</v>
      </c>
      <c r="B101" s="79" t="s">
        <v>128</v>
      </c>
      <c r="C101" s="44" t="s">
        <v>174</v>
      </c>
      <c r="D101" s="115"/>
      <c r="E101" s="10"/>
      <c r="F101" s="13"/>
      <c r="G101" s="16" t="s">
        <v>157</v>
      </c>
      <c r="H101" s="16" t="s">
        <v>157</v>
      </c>
      <c r="I101" s="16" t="s">
        <v>132</v>
      </c>
      <c r="J101" s="16" t="s">
        <v>31</v>
      </c>
      <c r="K101" s="16" t="s">
        <v>60</v>
      </c>
      <c r="L101" s="63">
        <f>65000/1000</f>
        <v>65</v>
      </c>
      <c r="M101" s="62"/>
      <c r="N101" s="62"/>
      <c r="O101" s="63">
        <f>65000/1000</f>
        <v>65</v>
      </c>
      <c r="P101" s="63">
        <f>19500/1000</f>
        <v>19.5</v>
      </c>
      <c r="Q101" s="63"/>
      <c r="R101" s="63"/>
      <c r="S101" s="63"/>
      <c r="T101" s="19">
        <v>300</v>
      </c>
    </row>
    <row r="102" spans="1:20" ht="22.5">
      <c r="A102" s="58" t="s">
        <v>26</v>
      </c>
      <c r="B102" s="79" t="s">
        <v>128</v>
      </c>
      <c r="C102" s="44" t="s">
        <v>174</v>
      </c>
      <c r="D102" s="115"/>
      <c r="E102" s="10"/>
      <c r="F102" s="13"/>
      <c r="G102" s="16" t="s">
        <v>157</v>
      </c>
      <c r="H102" s="16" t="s">
        <v>157</v>
      </c>
      <c r="I102" s="16" t="s">
        <v>132</v>
      </c>
      <c r="J102" s="16" t="s">
        <v>31</v>
      </c>
      <c r="K102" s="16" t="s">
        <v>32</v>
      </c>
      <c r="L102" s="63">
        <f>32000/1000</f>
        <v>32</v>
      </c>
      <c r="M102" s="62"/>
      <c r="N102" s="62"/>
      <c r="O102" s="63">
        <f>32000/1000</f>
        <v>32</v>
      </c>
      <c r="P102" s="63">
        <f>6000/1000</f>
        <v>6</v>
      </c>
      <c r="Q102" s="63"/>
      <c r="R102" s="63"/>
      <c r="S102" s="63"/>
      <c r="T102" s="19">
        <v>300</v>
      </c>
    </row>
    <row r="103" spans="1:20" ht="22.5">
      <c r="A103" s="58" t="s">
        <v>26</v>
      </c>
      <c r="B103" s="79" t="s">
        <v>119</v>
      </c>
      <c r="C103" s="41" t="s">
        <v>176</v>
      </c>
      <c r="D103" s="65" t="s">
        <v>120</v>
      </c>
      <c r="E103" s="15"/>
      <c r="F103" s="15"/>
      <c r="G103" s="25" t="s">
        <v>157</v>
      </c>
      <c r="H103" s="25" t="s">
        <v>156</v>
      </c>
      <c r="I103" s="25" t="s">
        <v>121</v>
      </c>
      <c r="J103" s="25" t="s">
        <v>38</v>
      </c>
      <c r="K103" s="25" t="s">
        <v>39</v>
      </c>
      <c r="L103" s="67"/>
      <c r="M103" s="67">
        <f>500000/1000</f>
        <v>500</v>
      </c>
      <c r="N103" s="67">
        <f>500000/1000</f>
        <v>500</v>
      </c>
      <c r="O103" s="67"/>
      <c r="P103" s="67"/>
      <c r="Q103" s="67"/>
      <c r="R103" s="67"/>
      <c r="S103" s="67"/>
      <c r="T103" s="21">
        <v>300</v>
      </c>
    </row>
    <row r="104" spans="1:20" ht="11.25">
      <c r="A104" s="93" t="s">
        <v>177</v>
      </c>
      <c r="B104" s="93"/>
      <c r="C104" s="10"/>
      <c r="D104" s="10"/>
      <c r="E104" s="10"/>
      <c r="F104" s="10"/>
      <c r="G104" s="19"/>
      <c r="H104" s="19"/>
      <c r="I104" s="19"/>
      <c r="J104" s="19"/>
      <c r="K104" s="19"/>
      <c r="L104" s="94">
        <f>L10+L11+L12+L13+L14+L15+L16+L17+L18+L19+L20+L21+L22+L23+L24+L25+L26+L27+L28+L29+L30+L31+L32+L33+L34+L35+L36+L38+L39+L40+L43+L44+L45+L46+L47+L48+L49+L50+L51+L52+L53+L54+L57+L58+L59+L60+L61+L62+L63+L64+L65+L66+L67+L68+L69+L70+L71+L72+L73+L74+L75+L76+L77+L78+L79+L80+L81+L82+L83+L84+L85+L86+L87+L88+L89+L90+L91+L92+L93+L94+L95+L96+L97+L98+L99+L100+L101+L102+L103</f>
        <v>436362.2200000001</v>
      </c>
      <c r="M104" s="94">
        <f>M10+M11+M12+M13+M14+M15+M16+M17+M18+M19+M20+M21+M22+M23+M24+M25+M26+M27+M28+M29+M30+M31+M32+M33+M34+M35+M36+M38+M39+M40+M43+M44+M45+M46+M47+M48+M49+M50+M51+M52+M53+M54+M57+M58+M59+M60+M61+M62+M63+M64+M65+M66+M67+M68+M69+M70+M71+M72+M73+M74+M75+M76+M77+M78+M79+M80+M81+M82+M83+M84+M85+M86+M87+M88+M89+M90+M91+M92+M93+M94+M95+M96+M97+M98+M99+M100+M101+M102+M103</f>
        <v>376795.81861999986</v>
      </c>
      <c r="N104" s="94">
        <f aca="true" t="shared" si="2" ref="N104:S104">N10+N11+N12+N13+N14+N15+N16+N17+N18+N19+N20+N21+N22+N23+N24+N25+N26+N27+N28+N29+N30+N31+N32+N33+N34+N35+N36+N38+N39+N40+N43+N44+N45+N46+N47+N48+N49+N50+N51+N52+N53+N54+N57+N58+N59+N60+N61+N62+N63+N64+N65+N66+N67+N68+N69+N70+N71+N72+N73+N74+N75+N76+N77+N78+N79+N80+N81+N82+N83+N84+N85+N86+N87+N88+N89+N90+N91+N92+N93+N94+N95+N96+N97+N98+N99+N100+N101+N102+N103</f>
        <v>376295.2667</v>
      </c>
      <c r="O104" s="94">
        <f t="shared" si="2"/>
        <v>424466.5</v>
      </c>
      <c r="P104" s="94">
        <f t="shared" si="2"/>
        <v>91042.04653</v>
      </c>
      <c r="Q104" s="94">
        <f t="shared" si="2"/>
        <v>366792.79999999993</v>
      </c>
      <c r="R104" s="94">
        <f t="shared" si="2"/>
        <v>366770.79999999993</v>
      </c>
      <c r="S104" s="94">
        <f t="shared" si="2"/>
        <v>366770.79999999993</v>
      </c>
      <c r="T104" s="95"/>
    </row>
    <row r="105" spans="1:20" ht="56.25">
      <c r="A105" s="19">
        <v>164</v>
      </c>
      <c r="B105" s="20">
        <v>30101000</v>
      </c>
      <c r="C105" s="96" t="s">
        <v>28</v>
      </c>
      <c r="D105" s="12" t="s">
        <v>178</v>
      </c>
      <c r="E105" s="10"/>
      <c r="F105" s="13">
        <v>38558</v>
      </c>
      <c r="G105" s="16" t="s">
        <v>149</v>
      </c>
      <c r="H105" s="16" t="s">
        <v>155</v>
      </c>
      <c r="I105" s="16" t="s">
        <v>51</v>
      </c>
      <c r="J105" s="16" t="s">
        <v>31</v>
      </c>
      <c r="K105" s="16" t="s">
        <v>52</v>
      </c>
      <c r="L105" s="17">
        <f>O105</f>
        <v>4935.33</v>
      </c>
      <c r="M105" s="17">
        <v>4705.09</v>
      </c>
      <c r="N105" s="17">
        <v>4538.63</v>
      </c>
      <c r="O105" s="17">
        <v>4935.33</v>
      </c>
      <c r="P105" s="17">
        <v>1085.53</v>
      </c>
      <c r="Q105" s="97">
        <v>4431.2</v>
      </c>
      <c r="R105" s="17">
        <v>4431.2</v>
      </c>
      <c r="S105" s="17">
        <f>R105</f>
        <v>4431.2</v>
      </c>
      <c r="T105" s="18">
        <v>300</v>
      </c>
    </row>
    <row r="106" spans="1:20" ht="33.75">
      <c r="A106" s="19">
        <v>164</v>
      </c>
      <c r="B106" s="20">
        <v>30101000</v>
      </c>
      <c r="C106" s="98" t="s">
        <v>28</v>
      </c>
      <c r="D106" s="12" t="s">
        <v>179</v>
      </c>
      <c r="E106" s="13"/>
      <c r="F106" s="13">
        <v>38718</v>
      </c>
      <c r="G106" s="16" t="s">
        <v>149</v>
      </c>
      <c r="H106" s="16" t="s">
        <v>155</v>
      </c>
      <c r="I106" s="16" t="s">
        <v>51</v>
      </c>
      <c r="J106" s="16" t="s">
        <v>31</v>
      </c>
      <c r="K106" s="16" t="s">
        <v>53</v>
      </c>
      <c r="L106" s="17">
        <f aca="true" t="shared" si="3" ref="L106:L125">O106</f>
        <v>4.5</v>
      </c>
      <c r="M106" s="17">
        <v>1.5</v>
      </c>
      <c r="N106" s="17">
        <v>1.36</v>
      </c>
      <c r="O106" s="17">
        <v>4.5</v>
      </c>
      <c r="P106" s="17">
        <v>0.27</v>
      </c>
      <c r="Q106" s="17">
        <v>4.5</v>
      </c>
      <c r="R106" s="17">
        <v>4.5</v>
      </c>
      <c r="S106" s="17">
        <f aca="true" t="shared" si="4" ref="S106:S125">R106</f>
        <v>4.5</v>
      </c>
      <c r="T106" s="18">
        <v>300</v>
      </c>
    </row>
    <row r="107" spans="1:20" ht="56.25">
      <c r="A107" s="19">
        <v>164</v>
      </c>
      <c r="B107" s="20">
        <v>30101000</v>
      </c>
      <c r="C107" s="96" t="s">
        <v>28</v>
      </c>
      <c r="D107" s="12" t="s">
        <v>180</v>
      </c>
      <c r="E107" s="10"/>
      <c r="F107" s="13">
        <v>40909</v>
      </c>
      <c r="G107" s="16" t="s">
        <v>149</v>
      </c>
      <c r="H107" s="16" t="s">
        <v>155</v>
      </c>
      <c r="I107" s="16" t="s">
        <v>51</v>
      </c>
      <c r="J107" s="16" t="s">
        <v>31</v>
      </c>
      <c r="K107" s="16" t="s">
        <v>54</v>
      </c>
      <c r="L107" s="17">
        <f t="shared" si="3"/>
        <v>1502.92</v>
      </c>
      <c r="M107" s="17">
        <v>1447.97</v>
      </c>
      <c r="N107" s="17">
        <v>1260.66</v>
      </c>
      <c r="O107" s="17">
        <v>1502.92</v>
      </c>
      <c r="P107" s="17">
        <v>361.91</v>
      </c>
      <c r="Q107" s="17">
        <v>1339</v>
      </c>
      <c r="R107" s="17">
        <v>1339</v>
      </c>
      <c r="S107" s="17">
        <f t="shared" si="4"/>
        <v>1339</v>
      </c>
      <c r="T107" s="18">
        <v>300</v>
      </c>
    </row>
    <row r="108" spans="1:20" ht="56.25">
      <c r="A108" s="19">
        <v>164</v>
      </c>
      <c r="B108" s="20">
        <v>30101000</v>
      </c>
      <c r="C108" s="96" t="s">
        <v>28</v>
      </c>
      <c r="D108" s="12" t="s">
        <v>180</v>
      </c>
      <c r="E108" s="10"/>
      <c r="F108" s="13">
        <v>41275</v>
      </c>
      <c r="G108" s="16" t="s">
        <v>149</v>
      </c>
      <c r="H108" s="16" t="s">
        <v>155</v>
      </c>
      <c r="I108" s="16" t="s">
        <v>51</v>
      </c>
      <c r="J108" s="16" t="s">
        <v>31</v>
      </c>
      <c r="K108" s="16" t="s">
        <v>55</v>
      </c>
      <c r="L108" s="17">
        <f t="shared" si="3"/>
        <v>360</v>
      </c>
      <c r="M108" s="17">
        <v>265.04</v>
      </c>
      <c r="N108" s="17">
        <v>219.08</v>
      </c>
      <c r="O108" s="17">
        <v>360</v>
      </c>
      <c r="P108" s="17">
        <v>67.15</v>
      </c>
      <c r="Q108" s="17">
        <v>360</v>
      </c>
      <c r="R108" s="17">
        <v>360</v>
      </c>
      <c r="S108" s="17">
        <f t="shared" si="4"/>
        <v>360</v>
      </c>
      <c r="T108" s="18">
        <v>300</v>
      </c>
    </row>
    <row r="109" spans="1:20" ht="22.5">
      <c r="A109" s="19">
        <v>164</v>
      </c>
      <c r="B109" s="20">
        <v>30101000</v>
      </c>
      <c r="C109" s="96" t="s">
        <v>28</v>
      </c>
      <c r="D109" s="12"/>
      <c r="E109" s="13"/>
      <c r="F109" s="13"/>
      <c r="G109" s="16" t="s">
        <v>149</v>
      </c>
      <c r="H109" s="16" t="s">
        <v>155</v>
      </c>
      <c r="I109" s="16" t="s">
        <v>51</v>
      </c>
      <c r="J109" s="16" t="s">
        <v>31</v>
      </c>
      <c r="K109" s="16" t="s">
        <v>56</v>
      </c>
      <c r="L109" s="17">
        <f t="shared" si="3"/>
        <v>4.5</v>
      </c>
      <c r="M109" s="17">
        <v>0</v>
      </c>
      <c r="N109" s="17">
        <v>0</v>
      </c>
      <c r="O109" s="17">
        <v>4.5</v>
      </c>
      <c r="P109" s="17">
        <v>0</v>
      </c>
      <c r="Q109" s="17">
        <v>4.5</v>
      </c>
      <c r="R109" s="17">
        <v>4.5</v>
      </c>
      <c r="S109" s="17">
        <f t="shared" si="4"/>
        <v>4.5</v>
      </c>
      <c r="T109" s="18">
        <v>300</v>
      </c>
    </row>
    <row r="110" spans="1:20" ht="22.5">
      <c r="A110" s="19">
        <v>164</v>
      </c>
      <c r="B110" s="20">
        <v>30101000</v>
      </c>
      <c r="C110" s="96" t="s">
        <v>28</v>
      </c>
      <c r="D110" s="12"/>
      <c r="E110" s="10"/>
      <c r="F110" s="13"/>
      <c r="G110" s="16" t="s">
        <v>149</v>
      </c>
      <c r="H110" s="16" t="s">
        <v>155</v>
      </c>
      <c r="I110" s="16" t="s">
        <v>51</v>
      </c>
      <c r="J110" s="16" t="s">
        <v>31</v>
      </c>
      <c r="K110" s="16" t="s">
        <v>59</v>
      </c>
      <c r="L110" s="17">
        <f t="shared" si="3"/>
        <v>105.5</v>
      </c>
      <c r="M110" s="17">
        <v>87.04</v>
      </c>
      <c r="N110" s="17">
        <v>83.2</v>
      </c>
      <c r="O110" s="17">
        <v>105.5</v>
      </c>
      <c r="P110" s="17">
        <v>4.15</v>
      </c>
      <c r="Q110" s="17">
        <v>110</v>
      </c>
      <c r="R110" s="17">
        <v>110</v>
      </c>
      <c r="S110" s="17">
        <f t="shared" si="4"/>
        <v>110</v>
      </c>
      <c r="T110" s="18">
        <v>300</v>
      </c>
    </row>
    <row r="111" spans="1:20" ht="22.5">
      <c r="A111" s="19">
        <v>164</v>
      </c>
      <c r="B111" s="20">
        <v>30101000</v>
      </c>
      <c r="C111" s="96" t="s">
        <v>28</v>
      </c>
      <c r="D111" s="12"/>
      <c r="E111" s="10"/>
      <c r="F111" s="13"/>
      <c r="G111" s="16" t="s">
        <v>149</v>
      </c>
      <c r="H111" s="16" t="s">
        <v>155</v>
      </c>
      <c r="I111" s="16" t="s">
        <v>51</v>
      </c>
      <c r="J111" s="16" t="s">
        <v>31</v>
      </c>
      <c r="K111" s="16" t="s">
        <v>60</v>
      </c>
      <c r="L111" s="17">
        <f t="shared" si="3"/>
        <v>73</v>
      </c>
      <c r="M111" s="17">
        <v>49.59</v>
      </c>
      <c r="N111" s="17">
        <v>39.2</v>
      </c>
      <c r="O111" s="17">
        <v>73</v>
      </c>
      <c r="P111" s="17">
        <v>2.31</v>
      </c>
      <c r="Q111" s="17">
        <v>82.8</v>
      </c>
      <c r="R111" s="17">
        <v>107.3</v>
      </c>
      <c r="S111" s="17">
        <f t="shared" si="4"/>
        <v>107.3</v>
      </c>
      <c r="T111" s="18">
        <v>300</v>
      </c>
    </row>
    <row r="112" spans="1:20" ht="22.5">
      <c r="A112" s="19">
        <v>164</v>
      </c>
      <c r="B112" s="20">
        <v>30101000</v>
      </c>
      <c r="C112" s="96" t="s">
        <v>28</v>
      </c>
      <c r="D112" s="12"/>
      <c r="E112" s="10"/>
      <c r="F112" s="13"/>
      <c r="G112" s="16" t="s">
        <v>149</v>
      </c>
      <c r="H112" s="16" t="s">
        <v>155</v>
      </c>
      <c r="I112" s="16" t="s">
        <v>51</v>
      </c>
      <c r="J112" s="16" t="s">
        <v>31</v>
      </c>
      <c r="K112" s="16" t="s">
        <v>32</v>
      </c>
      <c r="L112" s="17">
        <f t="shared" si="3"/>
        <v>21</v>
      </c>
      <c r="M112" s="17">
        <v>9.5</v>
      </c>
      <c r="N112" s="17">
        <v>9.4</v>
      </c>
      <c r="O112" s="17">
        <v>21</v>
      </c>
      <c r="P112" s="17">
        <v>1.99</v>
      </c>
      <c r="Q112" s="17">
        <v>21</v>
      </c>
      <c r="R112" s="17">
        <v>21</v>
      </c>
      <c r="S112" s="17">
        <f t="shared" si="4"/>
        <v>21</v>
      </c>
      <c r="T112" s="18">
        <v>300</v>
      </c>
    </row>
    <row r="113" spans="1:20" ht="22.5">
      <c r="A113" s="19">
        <v>164</v>
      </c>
      <c r="B113" s="20">
        <v>30101000</v>
      </c>
      <c r="C113" s="96" t="s">
        <v>28</v>
      </c>
      <c r="D113" s="12"/>
      <c r="E113" s="10"/>
      <c r="F113" s="13"/>
      <c r="G113" s="16" t="s">
        <v>149</v>
      </c>
      <c r="H113" s="16" t="s">
        <v>155</v>
      </c>
      <c r="I113" s="16" t="s">
        <v>51</v>
      </c>
      <c r="J113" s="16" t="s">
        <v>31</v>
      </c>
      <c r="K113" s="16" t="s">
        <v>101</v>
      </c>
      <c r="L113" s="17">
        <f t="shared" si="3"/>
        <v>14.5</v>
      </c>
      <c r="M113" s="17">
        <v>153.11</v>
      </c>
      <c r="N113" s="17">
        <v>93.97</v>
      </c>
      <c r="O113" s="17">
        <v>14.5</v>
      </c>
      <c r="P113" s="17">
        <v>3.99</v>
      </c>
      <c r="Q113" s="17">
        <v>10</v>
      </c>
      <c r="R113" s="17">
        <v>10</v>
      </c>
      <c r="S113" s="17">
        <f t="shared" si="4"/>
        <v>10</v>
      </c>
      <c r="T113" s="18">
        <v>300</v>
      </c>
    </row>
    <row r="114" spans="1:20" ht="22.5">
      <c r="A114" s="19">
        <v>164</v>
      </c>
      <c r="B114" s="20">
        <v>30101000</v>
      </c>
      <c r="C114" s="96" t="s">
        <v>28</v>
      </c>
      <c r="D114" s="12"/>
      <c r="E114" s="10"/>
      <c r="F114" s="13"/>
      <c r="G114" s="16" t="s">
        <v>149</v>
      </c>
      <c r="H114" s="16" t="s">
        <v>155</v>
      </c>
      <c r="I114" s="16" t="s">
        <v>51</v>
      </c>
      <c r="J114" s="16" t="s">
        <v>31</v>
      </c>
      <c r="K114" s="16" t="s">
        <v>34</v>
      </c>
      <c r="L114" s="17">
        <f t="shared" si="3"/>
        <v>505.31</v>
      </c>
      <c r="M114" s="17">
        <v>498.02000000000004</v>
      </c>
      <c r="N114" s="17">
        <v>472.15000000000003</v>
      </c>
      <c r="O114" s="17">
        <v>505.31</v>
      </c>
      <c r="P114" s="17">
        <v>53.07</v>
      </c>
      <c r="Q114" s="17">
        <v>501.40000000000003</v>
      </c>
      <c r="R114" s="17">
        <v>501.40000000000003</v>
      </c>
      <c r="S114" s="17">
        <f t="shared" si="4"/>
        <v>501.40000000000003</v>
      </c>
      <c r="T114" s="18">
        <v>300</v>
      </c>
    </row>
    <row r="115" spans="1:20" ht="144.75" customHeight="1">
      <c r="A115" s="19">
        <v>164</v>
      </c>
      <c r="B115" s="22">
        <v>30101000</v>
      </c>
      <c r="C115" s="29" t="s">
        <v>28</v>
      </c>
      <c r="D115" s="14" t="s">
        <v>189</v>
      </c>
      <c r="E115" s="15"/>
      <c r="F115" s="66">
        <v>40847</v>
      </c>
      <c r="G115" s="16" t="s">
        <v>149</v>
      </c>
      <c r="H115" s="16" t="s">
        <v>150</v>
      </c>
      <c r="I115" s="16" t="s">
        <v>76</v>
      </c>
      <c r="J115" s="16" t="s">
        <v>31</v>
      </c>
      <c r="K115" s="16" t="s">
        <v>101</v>
      </c>
      <c r="L115" s="17">
        <f>O115</f>
        <v>50</v>
      </c>
      <c r="M115" s="17">
        <v>0</v>
      </c>
      <c r="N115" s="17">
        <v>0</v>
      </c>
      <c r="O115" s="17">
        <v>50</v>
      </c>
      <c r="P115" s="17">
        <v>0</v>
      </c>
      <c r="Q115" s="17">
        <v>0</v>
      </c>
      <c r="R115" s="17">
        <v>0</v>
      </c>
      <c r="S115" s="17">
        <f>R115</f>
        <v>0</v>
      </c>
      <c r="T115" s="18">
        <v>300</v>
      </c>
    </row>
    <row r="116" spans="1:20" ht="90">
      <c r="A116" s="19">
        <v>164</v>
      </c>
      <c r="B116" s="22">
        <v>30101000</v>
      </c>
      <c r="C116" s="29" t="s">
        <v>28</v>
      </c>
      <c r="D116" s="14" t="s">
        <v>190</v>
      </c>
      <c r="E116" s="15"/>
      <c r="F116" s="66">
        <v>40544</v>
      </c>
      <c r="G116" s="16" t="s">
        <v>149</v>
      </c>
      <c r="H116" s="16" t="s">
        <v>150</v>
      </c>
      <c r="I116" s="16" t="s">
        <v>78</v>
      </c>
      <c r="J116" s="16" t="s">
        <v>31</v>
      </c>
      <c r="K116" s="16" t="s">
        <v>101</v>
      </c>
      <c r="L116" s="17">
        <f>O116</f>
        <v>150</v>
      </c>
      <c r="M116" s="17">
        <v>50</v>
      </c>
      <c r="N116" s="17">
        <v>50</v>
      </c>
      <c r="O116" s="17">
        <v>150</v>
      </c>
      <c r="P116" s="17">
        <v>0</v>
      </c>
      <c r="Q116" s="17">
        <v>0</v>
      </c>
      <c r="R116" s="17">
        <v>0</v>
      </c>
      <c r="S116" s="17">
        <f>R116</f>
        <v>0</v>
      </c>
      <c r="T116" s="18">
        <v>300</v>
      </c>
    </row>
    <row r="117" spans="1:20" ht="33.75">
      <c r="A117" s="19">
        <v>164</v>
      </c>
      <c r="B117" s="20">
        <v>30110000</v>
      </c>
      <c r="C117" s="98" t="s">
        <v>181</v>
      </c>
      <c r="D117" s="12" t="s">
        <v>179</v>
      </c>
      <c r="E117" s="10"/>
      <c r="F117" s="13">
        <v>40681</v>
      </c>
      <c r="G117" s="16" t="s">
        <v>149</v>
      </c>
      <c r="H117" s="16" t="s">
        <v>150</v>
      </c>
      <c r="I117" s="16" t="s">
        <v>182</v>
      </c>
      <c r="J117" s="16" t="s">
        <v>31</v>
      </c>
      <c r="K117" s="16" t="s">
        <v>60</v>
      </c>
      <c r="L117" s="17">
        <f t="shared" si="3"/>
        <v>3000</v>
      </c>
      <c r="M117" s="17">
        <v>2400.4</v>
      </c>
      <c r="N117" s="17">
        <v>678.45</v>
      </c>
      <c r="O117" s="17">
        <v>3000</v>
      </c>
      <c r="P117" s="17">
        <v>48</v>
      </c>
      <c r="Q117" s="17">
        <v>3000</v>
      </c>
      <c r="R117" s="17">
        <v>500</v>
      </c>
      <c r="S117" s="17">
        <f t="shared" si="4"/>
        <v>500</v>
      </c>
      <c r="T117" s="18">
        <v>300</v>
      </c>
    </row>
    <row r="118" spans="1:20" ht="78.75">
      <c r="A118" s="19">
        <v>164</v>
      </c>
      <c r="B118" s="20">
        <v>30110000</v>
      </c>
      <c r="C118" s="96" t="s">
        <v>181</v>
      </c>
      <c r="D118" s="12" t="s">
        <v>183</v>
      </c>
      <c r="E118" s="10"/>
      <c r="F118" s="13">
        <v>38558</v>
      </c>
      <c r="G118" s="16" t="s">
        <v>149</v>
      </c>
      <c r="H118" s="16" t="s">
        <v>150</v>
      </c>
      <c r="I118" s="16" t="s">
        <v>30</v>
      </c>
      <c r="J118" s="16" t="s">
        <v>31</v>
      </c>
      <c r="K118" s="16" t="s">
        <v>55</v>
      </c>
      <c r="L118" s="17">
        <f t="shared" si="3"/>
        <v>1</v>
      </c>
      <c r="M118" s="17">
        <v>0.36</v>
      </c>
      <c r="N118" s="17">
        <v>0</v>
      </c>
      <c r="O118" s="17">
        <v>1</v>
      </c>
      <c r="P118" s="17">
        <v>0</v>
      </c>
      <c r="Q118" s="17">
        <v>1</v>
      </c>
      <c r="R118" s="17">
        <v>1</v>
      </c>
      <c r="S118" s="17">
        <f t="shared" si="4"/>
        <v>1</v>
      </c>
      <c r="T118" s="18">
        <v>300</v>
      </c>
    </row>
    <row r="119" spans="1:20" ht="78.75">
      <c r="A119" s="19">
        <v>164</v>
      </c>
      <c r="B119" s="20">
        <v>30110000</v>
      </c>
      <c r="C119" s="98" t="s">
        <v>181</v>
      </c>
      <c r="D119" s="12" t="s">
        <v>184</v>
      </c>
      <c r="E119" s="10"/>
      <c r="F119" s="99">
        <v>40544</v>
      </c>
      <c r="G119" s="16" t="s">
        <v>149</v>
      </c>
      <c r="H119" s="16" t="s">
        <v>150</v>
      </c>
      <c r="I119" s="16" t="s">
        <v>30</v>
      </c>
      <c r="J119" s="16" t="s">
        <v>31</v>
      </c>
      <c r="K119" s="16" t="s">
        <v>57</v>
      </c>
      <c r="L119" s="17">
        <f t="shared" si="3"/>
        <v>436.97</v>
      </c>
      <c r="M119" s="17">
        <v>378.25</v>
      </c>
      <c r="N119" s="17">
        <v>364.73</v>
      </c>
      <c r="O119" s="17">
        <v>436.97</v>
      </c>
      <c r="P119" s="17">
        <v>47.300000000000004</v>
      </c>
      <c r="Q119" s="17">
        <v>430</v>
      </c>
      <c r="R119" s="17">
        <v>430</v>
      </c>
      <c r="S119" s="17">
        <f t="shared" si="4"/>
        <v>430</v>
      </c>
      <c r="T119" s="18">
        <v>300</v>
      </c>
    </row>
    <row r="120" spans="1:20" ht="78.75">
      <c r="A120" s="19">
        <v>164</v>
      </c>
      <c r="B120" s="20">
        <v>30110000</v>
      </c>
      <c r="C120" s="98" t="s">
        <v>181</v>
      </c>
      <c r="D120" s="12" t="s">
        <v>185</v>
      </c>
      <c r="E120" s="10"/>
      <c r="F120" s="99">
        <v>40724</v>
      </c>
      <c r="G120" s="16" t="s">
        <v>149</v>
      </c>
      <c r="H120" s="16" t="s">
        <v>150</v>
      </c>
      <c r="I120" s="16" t="s">
        <v>30</v>
      </c>
      <c r="J120" s="16" t="s">
        <v>31</v>
      </c>
      <c r="K120" s="16" t="s">
        <v>58</v>
      </c>
      <c r="L120" s="17">
        <f t="shared" si="3"/>
        <v>0</v>
      </c>
      <c r="M120" s="17">
        <v>5</v>
      </c>
      <c r="N120" s="17">
        <v>4.25</v>
      </c>
      <c r="O120" s="17">
        <v>0</v>
      </c>
      <c r="P120" s="17">
        <v>0</v>
      </c>
      <c r="Q120" s="17">
        <v>0</v>
      </c>
      <c r="R120" s="17">
        <v>0</v>
      </c>
      <c r="S120" s="17">
        <f t="shared" si="4"/>
        <v>0</v>
      </c>
      <c r="T120" s="18">
        <v>300</v>
      </c>
    </row>
    <row r="121" spans="1:20" ht="78.75">
      <c r="A121" s="19">
        <v>164</v>
      </c>
      <c r="B121" s="20">
        <v>30110000</v>
      </c>
      <c r="C121" s="98" t="s">
        <v>181</v>
      </c>
      <c r="D121" s="12" t="s">
        <v>186</v>
      </c>
      <c r="E121" s="10"/>
      <c r="F121" s="99">
        <v>39351</v>
      </c>
      <c r="G121" s="16" t="s">
        <v>149</v>
      </c>
      <c r="H121" s="16" t="s">
        <v>150</v>
      </c>
      <c r="I121" s="16" t="s">
        <v>30</v>
      </c>
      <c r="J121" s="16" t="s">
        <v>31</v>
      </c>
      <c r="K121" s="16" t="s">
        <v>59</v>
      </c>
      <c r="L121" s="17">
        <f t="shared" si="3"/>
        <v>103.03</v>
      </c>
      <c r="M121" s="17">
        <v>198.09</v>
      </c>
      <c r="N121" s="17">
        <v>79.24</v>
      </c>
      <c r="O121" s="17">
        <v>103.03</v>
      </c>
      <c r="P121" s="17">
        <v>0</v>
      </c>
      <c r="Q121" s="17">
        <v>110</v>
      </c>
      <c r="R121" s="17">
        <v>110</v>
      </c>
      <c r="S121" s="17">
        <f t="shared" si="4"/>
        <v>110</v>
      </c>
      <c r="T121" s="18">
        <v>300</v>
      </c>
    </row>
    <row r="122" spans="1:20" ht="90">
      <c r="A122" s="19">
        <v>164</v>
      </c>
      <c r="B122" s="20">
        <v>30110000</v>
      </c>
      <c r="C122" s="98" t="s">
        <v>181</v>
      </c>
      <c r="D122" s="12" t="s">
        <v>187</v>
      </c>
      <c r="E122" s="10"/>
      <c r="F122" s="99">
        <v>40647</v>
      </c>
      <c r="G122" s="16" t="s">
        <v>149</v>
      </c>
      <c r="H122" s="16" t="s">
        <v>150</v>
      </c>
      <c r="I122" s="16" t="s">
        <v>30</v>
      </c>
      <c r="J122" s="16" t="s">
        <v>31</v>
      </c>
      <c r="K122" s="16" t="s">
        <v>60</v>
      </c>
      <c r="L122" s="17">
        <f t="shared" si="3"/>
        <v>150</v>
      </c>
      <c r="M122" s="17">
        <v>168.74</v>
      </c>
      <c r="N122" s="17">
        <v>136.74</v>
      </c>
      <c r="O122" s="17">
        <v>150</v>
      </c>
      <c r="P122" s="17">
        <v>0</v>
      </c>
      <c r="Q122" s="17">
        <v>150</v>
      </c>
      <c r="R122" s="17">
        <v>150</v>
      </c>
      <c r="S122" s="17">
        <f t="shared" si="4"/>
        <v>150</v>
      </c>
      <c r="T122" s="18">
        <v>300</v>
      </c>
    </row>
    <row r="123" spans="1:20" ht="78.75">
      <c r="A123" s="19">
        <v>164</v>
      </c>
      <c r="B123" s="20">
        <v>30110000</v>
      </c>
      <c r="C123" s="98" t="s">
        <v>181</v>
      </c>
      <c r="D123" s="12" t="s">
        <v>188</v>
      </c>
      <c r="E123" s="10"/>
      <c r="F123" s="99">
        <v>41047</v>
      </c>
      <c r="G123" s="16" t="s">
        <v>149</v>
      </c>
      <c r="H123" s="16" t="s">
        <v>150</v>
      </c>
      <c r="I123" s="16" t="s">
        <v>30</v>
      </c>
      <c r="J123" s="16" t="s">
        <v>31</v>
      </c>
      <c r="K123" s="16" t="s">
        <v>32</v>
      </c>
      <c r="L123" s="17">
        <f t="shared" si="3"/>
        <v>809</v>
      </c>
      <c r="M123" s="17">
        <v>490.83</v>
      </c>
      <c r="N123" s="17">
        <v>480.74</v>
      </c>
      <c r="O123" s="17">
        <v>809</v>
      </c>
      <c r="P123" s="17">
        <v>85.66</v>
      </c>
      <c r="Q123" s="17">
        <v>809</v>
      </c>
      <c r="R123" s="17">
        <v>809</v>
      </c>
      <c r="S123" s="17">
        <f t="shared" si="4"/>
        <v>809</v>
      </c>
      <c r="T123" s="18">
        <v>300</v>
      </c>
    </row>
    <row r="124" spans="1:20" ht="56.25">
      <c r="A124" s="19">
        <v>164</v>
      </c>
      <c r="B124" s="20">
        <v>30110000</v>
      </c>
      <c r="C124" s="98" t="s">
        <v>181</v>
      </c>
      <c r="D124" s="12" t="s">
        <v>178</v>
      </c>
      <c r="E124" s="10" t="s">
        <v>191</v>
      </c>
      <c r="F124" s="99">
        <v>38558</v>
      </c>
      <c r="G124" s="16" t="s">
        <v>155</v>
      </c>
      <c r="H124" s="16" t="s">
        <v>192</v>
      </c>
      <c r="I124" s="16" t="s">
        <v>193</v>
      </c>
      <c r="J124" s="16" t="s">
        <v>31</v>
      </c>
      <c r="K124" s="16" t="s">
        <v>60</v>
      </c>
      <c r="L124" s="17">
        <f t="shared" si="3"/>
        <v>800</v>
      </c>
      <c r="M124" s="17">
        <v>950</v>
      </c>
      <c r="N124" s="17">
        <v>897.4</v>
      </c>
      <c r="O124" s="17">
        <v>800</v>
      </c>
      <c r="P124" s="17">
        <v>9</v>
      </c>
      <c r="Q124" s="17">
        <v>800</v>
      </c>
      <c r="R124" s="17">
        <v>800</v>
      </c>
      <c r="S124" s="17">
        <f t="shared" si="4"/>
        <v>800</v>
      </c>
      <c r="T124" s="18">
        <v>300</v>
      </c>
    </row>
    <row r="125" spans="1:20" ht="90">
      <c r="A125" s="19">
        <v>164</v>
      </c>
      <c r="B125" s="20">
        <v>30400000</v>
      </c>
      <c r="C125" s="98" t="s">
        <v>194</v>
      </c>
      <c r="D125" s="12" t="s">
        <v>195</v>
      </c>
      <c r="E125" s="10"/>
      <c r="F125" s="99">
        <v>41171</v>
      </c>
      <c r="G125" s="16" t="s">
        <v>155</v>
      </c>
      <c r="H125" s="16" t="s">
        <v>192</v>
      </c>
      <c r="I125" s="16" t="s">
        <v>196</v>
      </c>
      <c r="J125" s="16" t="s">
        <v>197</v>
      </c>
      <c r="K125" s="16" t="s">
        <v>198</v>
      </c>
      <c r="L125" s="17">
        <f t="shared" si="3"/>
        <v>0</v>
      </c>
      <c r="M125" s="17">
        <v>180</v>
      </c>
      <c r="N125" s="17">
        <v>180</v>
      </c>
      <c r="O125" s="17">
        <v>0</v>
      </c>
      <c r="P125" s="17">
        <v>0</v>
      </c>
      <c r="Q125" s="17">
        <v>0</v>
      </c>
      <c r="R125" s="17">
        <v>0</v>
      </c>
      <c r="S125" s="17">
        <f t="shared" si="4"/>
        <v>0</v>
      </c>
      <c r="T125" s="18">
        <v>300</v>
      </c>
    </row>
    <row r="126" spans="1:20" ht="11.25">
      <c r="A126" s="46" t="s">
        <v>199</v>
      </c>
      <c r="B126" s="46"/>
      <c r="C126" s="10"/>
      <c r="D126" s="10"/>
      <c r="E126" s="10"/>
      <c r="F126" s="10"/>
      <c r="G126" s="10"/>
      <c r="H126" s="10"/>
      <c r="I126" s="10"/>
      <c r="J126" s="10"/>
      <c r="K126" s="10"/>
      <c r="L126" s="51">
        <f>SUM(L105:L125)</f>
        <v>13026.560000000001</v>
      </c>
      <c r="M126" s="51">
        <f>SUM(M105:M125)</f>
        <v>12038.53</v>
      </c>
      <c r="N126" s="51">
        <f aca="true" t="shared" si="5" ref="N126:S126">SUM(N105:N125)</f>
        <v>9589.199999999997</v>
      </c>
      <c r="O126" s="51">
        <f t="shared" si="5"/>
        <v>13026.560000000001</v>
      </c>
      <c r="P126" s="51">
        <f t="shared" si="5"/>
        <v>1770.3300000000002</v>
      </c>
      <c r="Q126" s="51">
        <f t="shared" si="5"/>
        <v>12164.4</v>
      </c>
      <c r="R126" s="51">
        <f t="shared" si="5"/>
        <v>9688.9</v>
      </c>
      <c r="S126" s="51">
        <f t="shared" si="5"/>
        <v>9688.9</v>
      </c>
      <c r="T126" s="10"/>
    </row>
    <row r="127" spans="1:20" ht="33.75">
      <c r="A127" s="19">
        <v>886</v>
      </c>
      <c r="B127" s="20">
        <v>30101000</v>
      </c>
      <c r="C127" s="11" t="s">
        <v>28</v>
      </c>
      <c r="D127" s="12" t="s">
        <v>200</v>
      </c>
      <c r="E127" s="10"/>
      <c r="F127" s="13">
        <v>39448</v>
      </c>
      <c r="G127" s="16" t="s">
        <v>149</v>
      </c>
      <c r="H127" s="16" t="s">
        <v>153</v>
      </c>
      <c r="I127" s="16" t="s">
        <v>51</v>
      </c>
      <c r="J127" s="16" t="s">
        <v>31</v>
      </c>
      <c r="K127" s="16" t="s">
        <v>52</v>
      </c>
      <c r="L127" s="17">
        <f>O127</f>
        <v>869.6800000000001</v>
      </c>
      <c r="M127" s="17">
        <v>576.15</v>
      </c>
      <c r="N127" s="17">
        <v>555.59</v>
      </c>
      <c r="O127" s="17">
        <v>869.6800000000001</v>
      </c>
      <c r="P127" s="17">
        <v>163.22</v>
      </c>
      <c r="Q127" s="17">
        <v>652</v>
      </c>
      <c r="R127" s="17">
        <v>652</v>
      </c>
      <c r="S127" s="17">
        <v>652</v>
      </c>
      <c r="T127" s="18">
        <v>300</v>
      </c>
    </row>
    <row r="128" spans="1:20" ht="33.75">
      <c r="A128" s="19">
        <v>886</v>
      </c>
      <c r="B128" s="20">
        <v>30101000</v>
      </c>
      <c r="C128" s="11" t="s">
        <v>28</v>
      </c>
      <c r="D128" s="12" t="s">
        <v>201</v>
      </c>
      <c r="E128" s="10"/>
      <c r="F128" s="13">
        <v>39448</v>
      </c>
      <c r="G128" s="16" t="s">
        <v>149</v>
      </c>
      <c r="H128" s="16" t="s">
        <v>153</v>
      </c>
      <c r="I128" s="16" t="s">
        <v>51</v>
      </c>
      <c r="J128" s="16" t="s">
        <v>31</v>
      </c>
      <c r="K128" s="16" t="s">
        <v>53</v>
      </c>
      <c r="L128" s="17">
        <f aca="true" t="shared" si="6" ref="L128:L136">O128</f>
        <v>9.9</v>
      </c>
      <c r="M128" s="17">
        <v>4.9</v>
      </c>
      <c r="N128" s="17">
        <v>4.9</v>
      </c>
      <c r="O128" s="17">
        <v>9.9</v>
      </c>
      <c r="P128" s="17">
        <v>0</v>
      </c>
      <c r="Q128" s="17">
        <v>9.8</v>
      </c>
      <c r="R128" s="17">
        <v>9.8</v>
      </c>
      <c r="S128" s="17">
        <v>9.8</v>
      </c>
      <c r="T128" s="18">
        <v>300</v>
      </c>
    </row>
    <row r="129" spans="1:20" ht="56.25">
      <c r="A129" s="19">
        <v>886</v>
      </c>
      <c r="B129" s="20">
        <v>30101000</v>
      </c>
      <c r="C129" s="11" t="s">
        <v>28</v>
      </c>
      <c r="D129" s="12" t="s">
        <v>202</v>
      </c>
      <c r="E129" s="10"/>
      <c r="F129" s="13">
        <v>40909</v>
      </c>
      <c r="G129" s="16" t="s">
        <v>149</v>
      </c>
      <c r="H129" s="16" t="s">
        <v>153</v>
      </c>
      <c r="I129" s="16" t="s">
        <v>51</v>
      </c>
      <c r="J129" s="16" t="s">
        <v>31</v>
      </c>
      <c r="K129" s="16">
        <v>213</v>
      </c>
      <c r="L129" s="17">
        <f t="shared" si="6"/>
        <v>262.43</v>
      </c>
      <c r="M129" s="17">
        <v>176.67000000000002</v>
      </c>
      <c r="N129" s="17">
        <v>163.99</v>
      </c>
      <c r="O129" s="17">
        <v>262.43</v>
      </c>
      <c r="P129" s="17">
        <v>53.19</v>
      </c>
      <c r="Q129" s="17">
        <v>200</v>
      </c>
      <c r="R129" s="17">
        <v>200</v>
      </c>
      <c r="S129" s="17">
        <v>200</v>
      </c>
      <c r="T129" s="18">
        <v>300</v>
      </c>
    </row>
    <row r="130" spans="1:20" ht="56.25">
      <c r="A130" s="19">
        <v>886</v>
      </c>
      <c r="B130" s="20">
        <v>30101000</v>
      </c>
      <c r="C130" s="11" t="s">
        <v>28</v>
      </c>
      <c r="D130" s="12" t="s">
        <v>202</v>
      </c>
      <c r="E130" s="10"/>
      <c r="F130" s="13">
        <v>41275</v>
      </c>
      <c r="G130" s="16" t="s">
        <v>149</v>
      </c>
      <c r="H130" s="16" t="s">
        <v>153</v>
      </c>
      <c r="I130" s="16" t="s">
        <v>51</v>
      </c>
      <c r="J130" s="16" t="s">
        <v>31</v>
      </c>
      <c r="K130" s="16" t="s">
        <v>55</v>
      </c>
      <c r="L130" s="17">
        <f t="shared" si="6"/>
        <v>14</v>
      </c>
      <c r="M130" s="17">
        <v>11.9</v>
      </c>
      <c r="N130" s="17">
        <v>11.72</v>
      </c>
      <c r="O130" s="17">
        <v>14</v>
      </c>
      <c r="P130" s="17">
        <v>1.94</v>
      </c>
      <c r="Q130" s="17">
        <v>14</v>
      </c>
      <c r="R130" s="17">
        <v>14</v>
      </c>
      <c r="S130" s="17">
        <v>14</v>
      </c>
      <c r="T130" s="18">
        <v>300</v>
      </c>
    </row>
    <row r="131" spans="1:20" ht="22.5">
      <c r="A131" s="19">
        <v>886</v>
      </c>
      <c r="B131" s="20">
        <v>30101000</v>
      </c>
      <c r="C131" s="11" t="s">
        <v>28</v>
      </c>
      <c r="D131" s="10"/>
      <c r="E131" s="10"/>
      <c r="F131" s="13"/>
      <c r="G131" s="16" t="s">
        <v>149</v>
      </c>
      <c r="H131" s="16" t="s">
        <v>153</v>
      </c>
      <c r="I131" s="16" t="s">
        <v>51</v>
      </c>
      <c r="J131" s="16" t="s">
        <v>31</v>
      </c>
      <c r="K131" s="16" t="s">
        <v>56</v>
      </c>
      <c r="L131" s="17">
        <f t="shared" si="6"/>
        <v>10</v>
      </c>
      <c r="M131" s="17">
        <v>5</v>
      </c>
      <c r="N131" s="17">
        <v>3.52</v>
      </c>
      <c r="O131" s="17">
        <v>10</v>
      </c>
      <c r="P131" s="17">
        <v>0</v>
      </c>
      <c r="Q131" s="17">
        <v>5</v>
      </c>
      <c r="R131" s="17">
        <v>5</v>
      </c>
      <c r="S131" s="17">
        <v>5</v>
      </c>
      <c r="T131" s="18">
        <v>300</v>
      </c>
    </row>
    <row r="132" spans="1:20" ht="22.5">
      <c r="A132" s="19">
        <v>886</v>
      </c>
      <c r="B132" s="20">
        <v>30101000</v>
      </c>
      <c r="C132" s="11" t="s">
        <v>28</v>
      </c>
      <c r="D132" s="10"/>
      <c r="E132" s="10"/>
      <c r="F132" s="13"/>
      <c r="G132" s="16" t="s">
        <v>149</v>
      </c>
      <c r="H132" s="16" t="s">
        <v>153</v>
      </c>
      <c r="I132" s="16" t="s">
        <v>51</v>
      </c>
      <c r="J132" s="16" t="s">
        <v>31</v>
      </c>
      <c r="K132" s="16" t="s">
        <v>59</v>
      </c>
      <c r="L132" s="17">
        <v>0</v>
      </c>
      <c r="M132" s="17">
        <v>0</v>
      </c>
      <c r="N132" s="17">
        <v>0</v>
      </c>
      <c r="O132" s="17">
        <v>0</v>
      </c>
      <c r="P132" s="17">
        <v>0</v>
      </c>
      <c r="Q132" s="17">
        <v>12</v>
      </c>
      <c r="R132" s="17">
        <v>12</v>
      </c>
      <c r="S132" s="17">
        <v>12</v>
      </c>
      <c r="T132" s="18">
        <v>300</v>
      </c>
    </row>
    <row r="133" spans="1:20" ht="22.5">
      <c r="A133" s="19">
        <v>886</v>
      </c>
      <c r="B133" s="20">
        <v>30101000</v>
      </c>
      <c r="C133" s="11" t="s">
        <v>28</v>
      </c>
      <c r="D133" s="10"/>
      <c r="E133" s="10"/>
      <c r="F133" s="13"/>
      <c r="G133" s="16" t="s">
        <v>149</v>
      </c>
      <c r="H133" s="16" t="s">
        <v>153</v>
      </c>
      <c r="I133" s="16" t="s">
        <v>51</v>
      </c>
      <c r="J133" s="16" t="s">
        <v>31</v>
      </c>
      <c r="K133" s="16" t="s">
        <v>60</v>
      </c>
      <c r="L133" s="17">
        <f t="shared" si="6"/>
        <v>919.4</v>
      </c>
      <c r="M133" s="17">
        <v>879.79</v>
      </c>
      <c r="N133" s="17">
        <v>873.21</v>
      </c>
      <c r="O133" s="17">
        <v>919.4</v>
      </c>
      <c r="P133" s="17">
        <v>145.51</v>
      </c>
      <c r="Q133" s="17">
        <v>919.3000000000001</v>
      </c>
      <c r="R133" s="17">
        <v>919.3000000000001</v>
      </c>
      <c r="S133" s="17">
        <v>919.3000000000001</v>
      </c>
      <c r="T133" s="18">
        <v>300</v>
      </c>
    </row>
    <row r="134" spans="1:20" ht="22.5">
      <c r="A134" s="19">
        <v>886</v>
      </c>
      <c r="B134" s="20">
        <v>30101000</v>
      </c>
      <c r="C134" s="11" t="s">
        <v>28</v>
      </c>
      <c r="D134" s="10"/>
      <c r="E134" s="10"/>
      <c r="F134" s="13"/>
      <c r="G134" s="16" t="s">
        <v>149</v>
      </c>
      <c r="H134" s="16" t="s">
        <v>153</v>
      </c>
      <c r="I134" s="16" t="s">
        <v>51</v>
      </c>
      <c r="J134" s="16" t="s">
        <v>31</v>
      </c>
      <c r="K134" s="16" t="s">
        <v>32</v>
      </c>
      <c r="L134" s="17">
        <f t="shared" si="6"/>
        <v>1.25</v>
      </c>
      <c r="M134" s="17">
        <v>0.11</v>
      </c>
      <c r="N134" s="17">
        <v>0.11</v>
      </c>
      <c r="O134" s="17">
        <v>1.25</v>
      </c>
      <c r="P134" s="17">
        <v>0</v>
      </c>
      <c r="Q134" s="17">
        <v>1.2</v>
      </c>
      <c r="R134" s="17">
        <v>1.2</v>
      </c>
      <c r="S134" s="17">
        <v>1.2</v>
      </c>
      <c r="T134" s="18">
        <v>300</v>
      </c>
    </row>
    <row r="135" spans="1:20" ht="22.5">
      <c r="A135" s="19">
        <v>886</v>
      </c>
      <c r="B135" s="20">
        <v>30101000</v>
      </c>
      <c r="C135" s="11" t="s">
        <v>28</v>
      </c>
      <c r="D135" s="10"/>
      <c r="E135" s="10"/>
      <c r="F135" s="13"/>
      <c r="G135" s="16" t="s">
        <v>149</v>
      </c>
      <c r="H135" s="16" t="s">
        <v>153</v>
      </c>
      <c r="I135" s="16" t="s">
        <v>51</v>
      </c>
      <c r="J135" s="16" t="s">
        <v>31</v>
      </c>
      <c r="K135" s="16" t="s">
        <v>101</v>
      </c>
      <c r="L135" s="17">
        <f t="shared" si="6"/>
        <v>0</v>
      </c>
      <c r="M135" s="17">
        <v>46.800000000000004</v>
      </c>
      <c r="N135" s="17">
        <v>44.49</v>
      </c>
      <c r="O135" s="17">
        <v>0</v>
      </c>
      <c r="P135" s="17">
        <v>0</v>
      </c>
      <c r="Q135" s="17">
        <v>0</v>
      </c>
      <c r="R135" s="17">
        <v>0</v>
      </c>
      <c r="S135" s="17">
        <v>0</v>
      </c>
      <c r="T135" s="18">
        <v>300</v>
      </c>
    </row>
    <row r="136" spans="1:20" ht="22.5">
      <c r="A136" s="19">
        <v>886</v>
      </c>
      <c r="B136" s="20">
        <v>30101000</v>
      </c>
      <c r="C136" s="11" t="s">
        <v>28</v>
      </c>
      <c r="D136" s="10"/>
      <c r="E136" s="10"/>
      <c r="F136" s="13"/>
      <c r="G136" s="16" t="s">
        <v>149</v>
      </c>
      <c r="H136" s="16" t="s">
        <v>153</v>
      </c>
      <c r="I136" s="16" t="s">
        <v>51</v>
      </c>
      <c r="J136" s="16" t="s">
        <v>31</v>
      </c>
      <c r="K136" s="16" t="s">
        <v>34</v>
      </c>
      <c r="L136" s="17">
        <f t="shared" si="6"/>
        <v>69.69</v>
      </c>
      <c r="M136" s="17">
        <v>45.88</v>
      </c>
      <c r="N136" s="17">
        <v>32.44</v>
      </c>
      <c r="O136" s="17">
        <v>69.69</v>
      </c>
      <c r="P136" s="17">
        <v>2</v>
      </c>
      <c r="Q136" s="17">
        <v>21</v>
      </c>
      <c r="R136" s="17">
        <v>21</v>
      </c>
      <c r="S136" s="17">
        <v>21</v>
      </c>
      <c r="T136" s="18">
        <v>300</v>
      </c>
    </row>
    <row r="137" spans="1:20" ht="11.25">
      <c r="A137" s="100" t="s">
        <v>203</v>
      </c>
      <c r="B137" s="101"/>
      <c r="C137" s="10"/>
      <c r="D137" s="10"/>
      <c r="E137" s="10"/>
      <c r="F137" s="10"/>
      <c r="G137" s="10"/>
      <c r="H137" s="10"/>
      <c r="I137" s="10"/>
      <c r="J137" s="10"/>
      <c r="K137" s="10"/>
      <c r="L137" s="51">
        <f>SUM(L127:L136)</f>
        <v>2156.35</v>
      </c>
      <c r="M137" s="51">
        <f aca="true" t="shared" si="7" ref="M137:S137">SUM(M127:M136)</f>
        <v>1747.1999999999998</v>
      </c>
      <c r="N137" s="51">
        <f t="shared" si="7"/>
        <v>1689.97</v>
      </c>
      <c r="O137" s="51">
        <f t="shared" si="7"/>
        <v>2156.35</v>
      </c>
      <c r="P137" s="51">
        <f t="shared" si="7"/>
        <v>365.86</v>
      </c>
      <c r="Q137" s="51">
        <f t="shared" si="7"/>
        <v>1834.3</v>
      </c>
      <c r="R137" s="51">
        <f t="shared" si="7"/>
        <v>1834.3</v>
      </c>
      <c r="S137" s="51">
        <f t="shared" si="7"/>
        <v>1834.3</v>
      </c>
      <c r="T137" s="10"/>
    </row>
    <row r="138" spans="1:20" ht="45">
      <c r="A138" s="19">
        <v>880</v>
      </c>
      <c r="B138" s="102">
        <v>30101000</v>
      </c>
      <c r="C138" s="41" t="s">
        <v>28</v>
      </c>
      <c r="D138" s="41" t="s">
        <v>204</v>
      </c>
      <c r="E138" s="19" t="s">
        <v>205</v>
      </c>
      <c r="F138" s="57" t="s">
        <v>206</v>
      </c>
      <c r="G138" s="19" t="s">
        <v>149</v>
      </c>
      <c r="H138" s="19" t="s">
        <v>150</v>
      </c>
      <c r="I138" s="19" t="s">
        <v>37</v>
      </c>
      <c r="J138" s="19" t="s">
        <v>38</v>
      </c>
      <c r="K138" s="19" t="s">
        <v>39</v>
      </c>
      <c r="L138" s="19"/>
      <c r="M138" s="19">
        <v>51.5</v>
      </c>
      <c r="N138" s="19">
        <v>51.5</v>
      </c>
      <c r="O138" s="19"/>
      <c r="P138" s="19"/>
      <c r="Q138" s="19"/>
      <c r="R138" s="19"/>
      <c r="S138" s="19"/>
      <c r="T138" s="19">
        <v>300</v>
      </c>
    </row>
    <row r="139" spans="1:20" ht="45">
      <c r="A139" s="19">
        <v>880</v>
      </c>
      <c r="B139" s="102">
        <v>30101000</v>
      </c>
      <c r="C139" s="41" t="s">
        <v>28</v>
      </c>
      <c r="D139" s="41" t="s">
        <v>204</v>
      </c>
      <c r="E139" s="19" t="s">
        <v>205</v>
      </c>
      <c r="F139" s="57" t="s">
        <v>206</v>
      </c>
      <c r="G139" s="16" t="s">
        <v>155</v>
      </c>
      <c r="H139" s="16" t="s">
        <v>149</v>
      </c>
      <c r="I139" s="16" t="s">
        <v>37</v>
      </c>
      <c r="J139" s="16" t="s">
        <v>38</v>
      </c>
      <c r="K139" s="16" t="s">
        <v>39</v>
      </c>
      <c r="L139" s="19">
        <v>4.2</v>
      </c>
      <c r="M139" s="19"/>
      <c r="N139" s="19"/>
      <c r="O139" s="19">
        <v>4.2</v>
      </c>
      <c r="P139" s="19">
        <v>4.2</v>
      </c>
      <c r="Q139" s="19"/>
      <c r="R139" s="19"/>
      <c r="S139" s="19"/>
      <c r="T139" s="19">
        <v>300</v>
      </c>
    </row>
    <row r="140" spans="1:20" ht="45">
      <c r="A140" s="19">
        <v>880</v>
      </c>
      <c r="B140" s="102">
        <v>30101000</v>
      </c>
      <c r="C140" s="41" t="s">
        <v>28</v>
      </c>
      <c r="D140" s="41" t="s">
        <v>207</v>
      </c>
      <c r="E140" s="103" t="s">
        <v>205</v>
      </c>
      <c r="F140" s="104">
        <v>38353</v>
      </c>
      <c r="G140" s="16" t="s">
        <v>158</v>
      </c>
      <c r="H140" s="16" t="s">
        <v>156</v>
      </c>
      <c r="I140" s="16" t="s">
        <v>62</v>
      </c>
      <c r="J140" s="16" t="s">
        <v>63</v>
      </c>
      <c r="K140" s="16" t="s">
        <v>53</v>
      </c>
      <c r="L140" s="17">
        <v>14.4</v>
      </c>
      <c r="M140" s="17">
        <v>14.4</v>
      </c>
      <c r="N140" s="17">
        <v>13.2</v>
      </c>
      <c r="O140" s="17">
        <v>14.4</v>
      </c>
      <c r="P140" s="17">
        <v>3.1</v>
      </c>
      <c r="Q140" s="17">
        <v>14.4</v>
      </c>
      <c r="R140" s="17">
        <v>14.4</v>
      </c>
      <c r="S140" s="17">
        <v>14.4</v>
      </c>
      <c r="T140" s="19">
        <v>300</v>
      </c>
    </row>
    <row r="141" spans="1:20" ht="101.25">
      <c r="A141" s="19">
        <v>880</v>
      </c>
      <c r="B141" s="102">
        <v>30101000</v>
      </c>
      <c r="C141" s="41" t="s">
        <v>28</v>
      </c>
      <c r="D141" s="41" t="s">
        <v>208</v>
      </c>
      <c r="E141" s="103"/>
      <c r="F141" s="104" t="s">
        <v>206</v>
      </c>
      <c r="G141" s="16" t="s">
        <v>158</v>
      </c>
      <c r="H141" s="16" t="s">
        <v>161</v>
      </c>
      <c r="I141" s="16" t="s">
        <v>51</v>
      </c>
      <c r="J141" s="16" t="s">
        <v>31</v>
      </c>
      <c r="K141" s="16" t="s">
        <v>52</v>
      </c>
      <c r="L141" s="17">
        <v>201.3</v>
      </c>
      <c r="M141" s="17">
        <v>204.7</v>
      </c>
      <c r="N141" s="17">
        <v>204.7</v>
      </c>
      <c r="O141" s="17">
        <v>201.3</v>
      </c>
      <c r="P141" s="17">
        <v>38.2</v>
      </c>
      <c r="Q141" s="17">
        <v>201.3</v>
      </c>
      <c r="R141" s="17">
        <v>201.3</v>
      </c>
      <c r="S141" s="17">
        <v>201.3</v>
      </c>
      <c r="T141" s="19">
        <v>300</v>
      </c>
    </row>
    <row r="142" spans="1:20" ht="101.25">
      <c r="A142" s="19">
        <v>880</v>
      </c>
      <c r="B142" s="102">
        <v>30101000</v>
      </c>
      <c r="C142" s="41" t="s">
        <v>28</v>
      </c>
      <c r="D142" s="41" t="s">
        <v>208</v>
      </c>
      <c r="E142" s="103"/>
      <c r="F142" s="104" t="s">
        <v>206</v>
      </c>
      <c r="G142" s="16" t="s">
        <v>158</v>
      </c>
      <c r="H142" s="16" t="s">
        <v>161</v>
      </c>
      <c r="I142" s="16" t="s">
        <v>51</v>
      </c>
      <c r="J142" s="16" t="s">
        <v>31</v>
      </c>
      <c r="K142" s="16" t="s">
        <v>54</v>
      </c>
      <c r="L142" s="17">
        <v>60.8</v>
      </c>
      <c r="M142" s="17">
        <v>60.8</v>
      </c>
      <c r="N142" s="17">
        <v>59.3</v>
      </c>
      <c r="O142" s="17">
        <v>60.8</v>
      </c>
      <c r="P142" s="17">
        <v>9.3</v>
      </c>
      <c r="Q142" s="17">
        <v>60.8</v>
      </c>
      <c r="R142" s="17">
        <v>60.8</v>
      </c>
      <c r="S142" s="17">
        <v>60.8</v>
      </c>
      <c r="T142" s="19">
        <v>300</v>
      </c>
    </row>
    <row r="143" spans="1:20" ht="101.25">
      <c r="A143" s="19">
        <v>880</v>
      </c>
      <c r="B143" s="102">
        <v>30101000</v>
      </c>
      <c r="C143" s="41" t="s">
        <v>28</v>
      </c>
      <c r="D143" s="41" t="s">
        <v>208</v>
      </c>
      <c r="E143" s="103"/>
      <c r="F143" s="104" t="s">
        <v>206</v>
      </c>
      <c r="G143" s="16" t="s">
        <v>158</v>
      </c>
      <c r="H143" s="16" t="s">
        <v>161</v>
      </c>
      <c r="I143" s="16" t="s">
        <v>51</v>
      </c>
      <c r="J143" s="16" t="s">
        <v>31</v>
      </c>
      <c r="K143" s="16" t="s">
        <v>55</v>
      </c>
      <c r="L143" s="17">
        <v>20</v>
      </c>
      <c r="M143" s="17">
        <v>20</v>
      </c>
      <c r="N143" s="17">
        <v>20</v>
      </c>
      <c r="O143" s="17">
        <v>20</v>
      </c>
      <c r="P143" s="17"/>
      <c r="Q143" s="17">
        <v>20</v>
      </c>
      <c r="R143" s="17">
        <v>20</v>
      </c>
      <c r="S143" s="17">
        <v>20</v>
      </c>
      <c r="T143" s="19">
        <v>300</v>
      </c>
    </row>
    <row r="144" spans="1:20" ht="101.25">
      <c r="A144" s="19">
        <v>880</v>
      </c>
      <c r="B144" s="102">
        <v>30101000</v>
      </c>
      <c r="C144" s="41" t="s">
        <v>28</v>
      </c>
      <c r="D144" s="41" t="s">
        <v>208</v>
      </c>
      <c r="E144" s="103"/>
      <c r="F144" s="104" t="s">
        <v>206</v>
      </c>
      <c r="G144" s="16" t="s">
        <v>158</v>
      </c>
      <c r="H144" s="16" t="s">
        <v>161</v>
      </c>
      <c r="I144" s="16" t="s">
        <v>51</v>
      </c>
      <c r="J144" s="16" t="s">
        <v>31</v>
      </c>
      <c r="K144" s="16" t="s">
        <v>60</v>
      </c>
      <c r="L144" s="17">
        <v>8</v>
      </c>
      <c r="M144" s="17">
        <v>0.5</v>
      </c>
      <c r="N144" s="17">
        <v>0.2</v>
      </c>
      <c r="O144" s="17">
        <v>8</v>
      </c>
      <c r="P144" s="17"/>
      <c r="Q144" s="17">
        <v>8</v>
      </c>
      <c r="R144" s="17">
        <v>8</v>
      </c>
      <c r="S144" s="17">
        <v>8</v>
      </c>
      <c r="T144" s="19">
        <v>300</v>
      </c>
    </row>
    <row r="145" spans="1:20" ht="101.25">
      <c r="A145" s="19">
        <v>880</v>
      </c>
      <c r="B145" s="102">
        <v>30101000</v>
      </c>
      <c r="C145" s="41" t="s">
        <v>28</v>
      </c>
      <c r="D145" s="41" t="s">
        <v>208</v>
      </c>
      <c r="E145" s="103"/>
      <c r="F145" s="104" t="s">
        <v>206</v>
      </c>
      <c r="G145" s="16" t="s">
        <v>158</v>
      </c>
      <c r="H145" s="16" t="s">
        <v>161</v>
      </c>
      <c r="I145" s="16" t="s">
        <v>51</v>
      </c>
      <c r="J145" s="16" t="s">
        <v>31</v>
      </c>
      <c r="K145" s="16" t="s">
        <v>101</v>
      </c>
      <c r="L145" s="17">
        <v>5</v>
      </c>
      <c r="M145" s="17">
        <v>3.6</v>
      </c>
      <c r="N145" s="17">
        <v>0</v>
      </c>
      <c r="O145" s="17">
        <v>5</v>
      </c>
      <c r="P145" s="17"/>
      <c r="Q145" s="17">
        <v>5</v>
      </c>
      <c r="R145" s="17">
        <v>5</v>
      </c>
      <c r="S145" s="17">
        <v>5</v>
      </c>
      <c r="T145" s="19">
        <v>300</v>
      </c>
    </row>
    <row r="146" spans="1:20" ht="101.25">
      <c r="A146" s="19">
        <v>880</v>
      </c>
      <c r="B146" s="102">
        <v>30101000</v>
      </c>
      <c r="C146" s="41" t="s">
        <v>28</v>
      </c>
      <c r="D146" s="41" t="s">
        <v>208</v>
      </c>
      <c r="E146" s="103"/>
      <c r="F146" s="104" t="s">
        <v>206</v>
      </c>
      <c r="G146" s="16" t="s">
        <v>158</v>
      </c>
      <c r="H146" s="16" t="s">
        <v>161</v>
      </c>
      <c r="I146" s="16" t="s">
        <v>51</v>
      </c>
      <c r="J146" s="16" t="s">
        <v>31</v>
      </c>
      <c r="K146" s="16" t="s">
        <v>34</v>
      </c>
      <c r="L146" s="17">
        <v>28.3</v>
      </c>
      <c r="M146" s="17">
        <v>10.4</v>
      </c>
      <c r="N146" s="17">
        <v>6.9</v>
      </c>
      <c r="O146" s="17">
        <v>28.3</v>
      </c>
      <c r="P146" s="17"/>
      <c r="Q146" s="17">
        <v>28.3</v>
      </c>
      <c r="R146" s="17">
        <v>28.3</v>
      </c>
      <c r="S146" s="17">
        <v>28.3</v>
      </c>
      <c r="T146" s="19">
        <v>300</v>
      </c>
    </row>
    <row r="147" spans="1:20" ht="56.25">
      <c r="A147" s="19">
        <v>880</v>
      </c>
      <c r="B147" s="102">
        <v>30101000</v>
      </c>
      <c r="C147" s="41" t="s">
        <v>28</v>
      </c>
      <c r="D147" s="41" t="s">
        <v>209</v>
      </c>
      <c r="E147" s="103" t="s">
        <v>205</v>
      </c>
      <c r="F147" s="104" t="s">
        <v>210</v>
      </c>
      <c r="G147" s="16" t="s">
        <v>158</v>
      </c>
      <c r="H147" s="16" t="s">
        <v>161</v>
      </c>
      <c r="I147" s="16" t="s">
        <v>211</v>
      </c>
      <c r="J147" s="16" t="s">
        <v>31</v>
      </c>
      <c r="K147" s="16" t="s">
        <v>60</v>
      </c>
      <c r="L147" s="17"/>
      <c r="M147" s="17">
        <v>3</v>
      </c>
      <c r="N147" s="17">
        <v>3</v>
      </c>
      <c r="O147" s="17"/>
      <c r="P147" s="17"/>
      <c r="Q147" s="17"/>
      <c r="R147" s="17"/>
      <c r="S147" s="17"/>
      <c r="T147" s="19">
        <v>300</v>
      </c>
    </row>
    <row r="148" spans="1:20" ht="56.25">
      <c r="A148" s="19">
        <v>880</v>
      </c>
      <c r="B148" s="102">
        <v>30101000</v>
      </c>
      <c r="C148" s="41" t="s">
        <v>28</v>
      </c>
      <c r="D148" s="41" t="s">
        <v>209</v>
      </c>
      <c r="E148" s="103" t="s">
        <v>205</v>
      </c>
      <c r="F148" s="104" t="s">
        <v>210</v>
      </c>
      <c r="G148" s="16" t="s">
        <v>158</v>
      </c>
      <c r="H148" s="16" t="s">
        <v>161</v>
      </c>
      <c r="I148" s="16" t="s">
        <v>211</v>
      </c>
      <c r="J148" s="16" t="s">
        <v>31</v>
      </c>
      <c r="K148" s="16" t="s">
        <v>32</v>
      </c>
      <c r="L148" s="17"/>
      <c r="M148" s="17">
        <v>4</v>
      </c>
      <c r="N148" s="17">
        <v>4</v>
      </c>
      <c r="O148" s="17"/>
      <c r="P148" s="17"/>
      <c r="Q148" s="17"/>
      <c r="R148" s="17"/>
      <c r="S148" s="17"/>
      <c r="T148" s="19">
        <v>300</v>
      </c>
    </row>
    <row r="149" spans="1:20" ht="56.25">
      <c r="A149" s="19">
        <v>880</v>
      </c>
      <c r="B149" s="102">
        <v>30101000</v>
      </c>
      <c r="C149" s="41" t="s">
        <v>28</v>
      </c>
      <c r="D149" s="41" t="s">
        <v>209</v>
      </c>
      <c r="E149" s="103" t="s">
        <v>205</v>
      </c>
      <c r="F149" s="104" t="s">
        <v>210</v>
      </c>
      <c r="G149" s="16" t="s">
        <v>158</v>
      </c>
      <c r="H149" s="16" t="s">
        <v>161</v>
      </c>
      <c r="I149" s="16" t="s">
        <v>211</v>
      </c>
      <c r="J149" s="16" t="s">
        <v>31</v>
      </c>
      <c r="K149" s="16" t="s">
        <v>34</v>
      </c>
      <c r="L149" s="17"/>
      <c r="M149" s="17">
        <v>3</v>
      </c>
      <c r="N149" s="17">
        <v>3</v>
      </c>
      <c r="O149" s="17"/>
      <c r="P149" s="17"/>
      <c r="Q149" s="17"/>
      <c r="R149" s="17"/>
      <c r="S149" s="17"/>
      <c r="T149" s="19">
        <v>300</v>
      </c>
    </row>
    <row r="150" spans="1:20" ht="101.25">
      <c r="A150" s="19">
        <v>880</v>
      </c>
      <c r="B150" s="102">
        <v>30101000</v>
      </c>
      <c r="C150" s="41" t="s">
        <v>28</v>
      </c>
      <c r="D150" s="41" t="s">
        <v>212</v>
      </c>
      <c r="E150" s="103" t="s">
        <v>205</v>
      </c>
      <c r="F150" s="104" t="s">
        <v>213</v>
      </c>
      <c r="G150" s="16" t="s">
        <v>158</v>
      </c>
      <c r="H150" s="16" t="s">
        <v>161</v>
      </c>
      <c r="I150" s="16" t="s">
        <v>33</v>
      </c>
      <c r="J150" s="16" t="s">
        <v>31</v>
      </c>
      <c r="K150" s="16" t="s">
        <v>60</v>
      </c>
      <c r="L150" s="17">
        <v>5</v>
      </c>
      <c r="M150" s="17">
        <v>5</v>
      </c>
      <c r="N150" s="17">
        <v>5</v>
      </c>
      <c r="O150" s="17">
        <v>5</v>
      </c>
      <c r="P150" s="17"/>
      <c r="Q150" s="17"/>
      <c r="R150" s="17"/>
      <c r="S150" s="17"/>
      <c r="T150" s="19">
        <v>300</v>
      </c>
    </row>
    <row r="151" spans="1:20" ht="101.25">
      <c r="A151" s="19">
        <v>880</v>
      </c>
      <c r="B151" s="102">
        <v>30101000</v>
      </c>
      <c r="C151" s="41" t="s">
        <v>28</v>
      </c>
      <c r="D151" s="41" t="s">
        <v>212</v>
      </c>
      <c r="E151" s="103" t="s">
        <v>205</v>
      </c>
      <c r="F151" s="104" t="s">
        <v>213</v>
      </c>
      <c r="G151" s="16" t="s">
        <v>158</v>
      </c>
      <c r="H151" s="16" t="s">
        <v>161</v>
      </c>
      <c r="I151" s="16" t="s">
        <v>33</v>
      </c>
      <c r="J151" s="16" t="s">
        <v>31</v>
      </c>
      <c r="K151" s="16" t="s">
        <v>32</v>
      </c>
      <c r="L151" s="17">
        <v>20</v>
      </c>
      <c r="M151" s="17">
        <v>17</v>
      </c>
      <c r="N151" s="17">
        <v>17</v>
      </c>
      <c r="O151" s="17">
        <v>20</v>
      </c>
      <c r="P151" s="17"/>
      <c r="Q151" s="17"/>
      <c r="R151" s="17"/>
      <c r="S151" s="17"/>
      <c r="T151" s="19">
        <v>300</v>
      </c>
    </row>
    <row r="152" spans="1:20" ht="101.25">
      <c r="A152" s="19">
        <v>880</v>
      </c>
      <c r="B152" s="102">
        <v>30101000</v>
      </c>
      <c r="C152" s="41" t="s">
        <v>28</v>
      </c>
      <c r="D152" s="41" t="s">
        <v>212</v>
      </c>
      <c r="E152" s="103" t="s">
        <v>205</v>
      </c>
      <c r="F152" s="104" t="s">
        <v>213</v>
      </c>
      <c r="G152" s="16" t="s">
        <v>158</v>
      </c>
      <c r="H152" s="16" t="s">
        <v>161</v>
      </c>
      <c r="I152" s="16" t="s">
        <v>33</v>
      </c>
      <c r="J152" s="16" t="s">
        <v>31</v>
      </c>
      <c r="K152" s="16" t="s">
        <v>34</v>
      </c>
      <c r="L152" s="17">
        <v>5</v>
      </c>
      <c r="M152" s="17">
        <v>8</v>
      </c>
      <c r="N152" s="17">
        <v>8</v>
      </c>
      <c r="O152" s="17">
        <v>5</v>
      </c>
      <c r="P152" s="17"/>
      <c r="Q152" s="17"/>
      <c r="R152" s="17"/>
      <c r="S152" s="17"/>
      <c r="T152" s="19">
        <v>300</v>
      </c>
    </row>
    <row r="153" spans="1:20" ht="78.75">
      <c r="A153" s="19">
        <v>880</v>
      </c>
      <c r="B153" s="102">
        <v>30102000</v>
      </c>
      <c r="C153" s="41" t="s">
        <v>214</v>
      </c>
      <c r="D153" s="41" t="s">
        <v>215</v>
      </c>
      <c r="E153" s="105"/>
      <c r="F153" s="105" t="s">
        <v>216</v>
      </c>
      <c r="G153" s="16" t="s">
        <v>158</v>
      </c>
      <c r="H153" s="16" t="s">
        <v>161</v>
      </c>
      <c r="I153" s="16" t="s">
        <v>148</v>
      </c>
      <c r="J153" s="16" t="s">
        <v>38</v>
      </c>
      <c r="K153" s="16" t="s">
        <v>39</v>
      </c>
      <c r="L153" s="17"/>
      <c r="M153" s="17">
        <v>24.5</v>
      </c>
      <c r="N153" s="17">
        <v>24.5</v>
      </c>
      <c r="O153" s="17"/>
      <c r="P153" s="17"/>
      <c r="Q153" s="17"/>
      <c r="R153" s="17"/>
      <c r="S153" s="17"/>
      <c r="T153" s="19">
        <v>300</v>
      </c>
    </row>
    <row r="154" spans="1:20" ht="78.75">
      <c r="A154" s="19">
        <v>880</v>
      </c>
      <c r="B154" s="102">
        <v>30118000</v>
      </c>
      <c r="C154" s="41" t="s">
        <v>69</v>
      </c>
      <c r="D154" s="41" t="s">
        <v>217</v>
      </c>
      <c r="E154" s="103" t="s">
        <v>205</v>
      </c>
      <c r="F154" s="103" t="s">
        <v>218</v>
      </c>
      <c r="G154" s="16" t="s">
        <v>157</v>
      </c>
      <c r="H154" s="16" t="s">
        <v>157</v>
      </c>
      <c r="I154" s="16" t="s">
        <v>131</v>
      </c>
      <c r="J154" s="16" t="s">
        <v>31</v>
      </c>
      <c r="K154" s="16" t="s">
        <v>53</v>
      </c>
      <c r="L154" s="17"/>
      <c r="M154" s="17">
        <v>3.5</v>
      </c>
      <c r="N154" s="17">
        <v>3.5</v>
      </c>
      <c r="O154" s="17"/>
      <c r="P154" s="17"/>
      <c r="Q154" s="17"/>
      <c r="R154" s="17"/>
      <c r="S154" s="17"/>
      <c r="T154" s="19">
        <v>300</v>
      </c>
    </row>
    <row r="155" spans="1:20" ht="78.75">
      <c r="A155" s="19">
        <v>880</v>
      </c>
      <c r="B155" s="102">
        <v>30118000</v>
      </c>
      <c r="C155" s="41" t="s">
        <v>69</v>
      </c>
      <c r="D155" s="41" t="s">
        <v>217</v>
      </c>
      <c r="E155" s="105" t="s">
        <v>205</v>
      </c>
      <c r="F155" s="105" t="s">
        <v>216</v>
      </c>
      <c r="G155" s="16" t="s">
        <v>157</v>
      </c>
      <c r="H155" s="16" t="s">
        <v>157</v>
      </c>
      <c r="I155" s="16" t="s">
        <v>131</v>
      </c>
      <c r="J155" s="16" t="s">
        <v>38</v>
      </c>
      <c r="K155" s="16" t="s">
        <v>39</v>
      </c>
      <c r="L155" s="17"/>
      <c r="M155" s="17">
        <v>10.5</v>
      </c>
      <c r="N155" s="17">
        <v>3.5</v>
      </c>
      <c r="O155" s="17"/>
      <c r="P155" s="17"/>
      <c r="Q155" s="17"/>
      <c r="R155" s="17"/>
      <c r="S155" s="17"/>
      <c r="T155" s="19">
        <v>300</v>
      </c>
    </row>
    <row r="156" spans="1:20" ht="292.5">
      <c r="A156" s="19">
        <v>880</v>
      </c>
      <c r="B156" s="102">
        <v>30301000</v>
      </c>
      <c r="C156" s="41" t="s">
        <v>160</v>
      </c>
      <c r="D156" s="41" t="s">
        <v>219</v>
      </c>
      <c r="E156" s="103"/>
      <c r="F156" s="104">
        <v>33239</v>
      </c>
      <c r="G156" s="16" t="s">
        <v>158</v>
      </c>
      <c r="H156" s="16" t="s">
        <v>153</v>
      </c>
      <c r="I156" s="16" t="s">
        <v>220</v>
      </c>
      <c r="J156" s="16" t="s">
        <v>63</v>
      </c>
      <c r="K156" s="16" t="s">
        <v>55</v>
      </c>
      <c r="L156" s="17">
        <v>204</v>
      </c>
      <c r="M156" s="17">
        <v>174.9</v>
      </c>
      <c r="N156" s="17">
        <v>166.7</v>
      </c>
      <c r="O156" s="17">
        <v>204</v>
      </c>
      <c r="P156" s="17"/>
      <c r="Q156" s="17">
        <v>204</v>
      </c>
      <c r="R156" s="17">
        <v>210</v>
      </c>
      <c r="S156" s="17">
        <v>210</v>
      </c>
      <c r="T156" s="19">
        <v>300</v>
      </c>
    </row>
    <row r="157" spans="1:20" ht="292.5">
      <c r="A157" s="19">
        <v>880</v>
      </c>
      <c r="B157" s="102">
        <v>30301000</v>
      </c>
      <c r="C157" s="41" t="s">
        <v>160</v>
      </c>
      <c r="D157" s="41" t="s">
        <v>219</v>
      </c>
      <c r="E157" s="103"/>
      <c r="F157" s="104">
        <v>33240</v>
      </c>
      <c r="G157" s="16" t="s">
        <v>158</v>
      </c>
      <c r="H157" s="16" t="s">
        <v>153</v>
      </c>
      <c r="I157" s="16" t="s">
        <v>220</v>
      </c>
      <c r="J157" s="16" t="s">
        <v>63</v>
      </c>
      <c r="K157" s="16" t="s">
        <v>60</v>
      </c>
      <c r="L157" s="17">
        <v>1.2</v>
      </c>
      <c r="M157" s="17">
        <v>35.1</v>
      </c>
      <c r="N157" s="17">
        <v>17.1</v>
      </c>
      <c r="O157" s="17">
        <v>1.2</v>
      </c>
      <c r="P157" s="17">
        <v>0.04</v>
      </c>
      <c r="Q157" s="17">
        <v>1.5</v>
      </c>
      <c r="R157" s="17">
        <v>2</v>
      </c>
      <c r="S157" s="17">
        <v>2</v>
      </c>
      <c r="T157" s="19">
        <v>300</v>
      </c>
    </row>
    <row r="158" spans="1:20" ht="292.5">
      <c r="A158" s="19">
        <v>880</v>
      </c>
      <c r="B158" s="102">
        <v>30301000</v>
      </c>
      <c r="C158" s="41" t="s">
        <v>160</v>
      </c>
      <c r="D158" s="41" t="s">
        <v>219</v>
      </c>
      <c r="E158" s="103"/>
      <c r="F158" s="104">
        <v>33241</v>
      </c>
      <c r="G158" s="16" t="s">
        <v>158</v>
      </c>
      <c r="H158" s="16" t="s">
        <v>153</v>
      </c>
      <c r="I158" s="16" t="s">
        <v>220</v>
      </c>
      <c r="J158" s="16" t="s">
        <v>63</v>
      </c>
      <c r="K158" s="16" t="s">
        <v>137</v>
      </c>
      <c r="L158" s="17">
        <v>19340.1</v>
      </c>
      <c r="M158" s="17">
        <v>17398.4</v>
      </c>
      <c r="N158" s="17">
        <v>15069.4</v>
      </c>
      <c r="O158" s="17">
        <v>19340.1</v>
      </c>
      <c r="P158" s="17">
        <v>2300</v>
      </c>
      <c r="Q158" s="17">
        <v>20317</v>
      </c>
      <c r="R158" s="17">
        <v>21726.5</v>
      </c>
      <c r="S158" s="17">
        <v>21726.5</v>
      </c>
      <c r="T158" s="19">
        <v>300</v>
      </c>
    </row>
    <row r="159" spans="1:20" ht="247.5">
      <c r="A159" s="19">
        <v>880</v>
      </c>
      <c r="B159" s="102">
        <v>30301000</v>
      </c>
      <c r="C159" s="41" t="s">
        <v>160</v>
      </c>
      <c r="D159" s="41" t="s">
        <v>221</v>
      </c>
      <c r="E159" s="103"/>
      <c r="F159" s="104">
        <v>35065</v>
      </c>
      <c r="G159" s="16" t="s">
        <v>158</v>
      </c>
      <c r="H159" s="16" t="s">
        <v>153</v>
      </c>
      <c r="I159" s="16" t="s">
        <v>129</v>
      </c>
      <c r="J159" s="16" t="s">
        <v>63</v>
      </c>
      <c r="K159" s="16" t="s">
        <v>55</v>
      </c>
      <c r="L159" s="17">
        <v>606</v>
      </c>
      <c r="M159" s="17">
        <v>454.8</v>
      </c>
      <c r="N159" s="17">
        <v>454.8</v>
      </c>
      <c r="O159" s="17">
        <v>606</v>
      </c>
      <c r="P159" s="17">
        <v>111.4</v>
      </c>
      <c r="Q159" s="17">
        <v>305</v>
      </c>
      <c r="R159" s="17">
        <v>305</v>
      </c>
      <c r="S159" s="17">
        <v>305</v>
      </c>
      <c r="T159" s="19">
        <v>300</v>
      </c>
    </row>
    <row r="160" spans="1:20" ht="247.5">
      <c r="A160" s="19">
        <v>880</v>
      </c>
      <c r="B160" s="102">
        <v>30301000</v>
      </c>
      <c r="C160" s="41" t="s">
        <v>160</v>
      </c>
      <c r="D160" s="41" t="s">
        <v>222</v>
      </c>
      <c r="E160" s="103"/>
      <c r="F160" s="104">
        <v>35066</v>
      </c>
      <c r="G160" s="16" t="s">
        <v>158</v>
      </c>
      <c r="H160" s="16" t="s">
        <v>153</v>
      </c>
      <c r="I160" s="16" t="s">
        <v>129</v>
      </c>
      <c r="J160" s="16" t="s">
        <v>63</v>
      </c>
      <c r="K160" s="16" t="s">
        <v>60</v>
      </c>
      <c r="L160" s="17">
        <v>2.4</v>
      </c>
      <c r="M160" s="17">
        <v>87</v>
      </c>
      <c r="N160" s="17">
        <v>87</v>
      </c>
      <c r="O160" s="17">
        <v>2.4</v>
      </c>
      <c r="P160" s="17">
        <v>0.6</v>
      </c>
      <c r="Q160" s="17">
        <v>2</v>
      </c>
      <c r="R160" s="17">
        <v>2</v>
      </c>
      <c r="S160" s="17">
        <v>2</v>
      </c>
      <c r="T160" s="19">
        <v>300</v>
      </c>
    </row>
    <row r="161" spans="1:20" ht="247.5">
      <c r="A161" s="19">
        <v>880</v>
      </c>
      <c r="B161" s="102">
        <v>30301000</v>
      </c>
      <c r="C161" s="41" t="s">
        <v>160</v>
      </c>
      <c r="D161" s="41" t="s">
        <v>222</v>
      </c>
      <c r="E161" s="103"/>
      <c r="F161" s="104">
        <v>35067</v>
      </c>
      <c r="G161" s="16" t="s">
        <v>158</v>
      </c>
      <c r="H161" s="16" t="s">
        <v>153</v>
      </c>
      <c r="I161" s="16" t="s">
        <v>129</v>
      </c>
      <c r="J161" s="16" t="s">
        <v>63</v>
      </c>
      <c r="K161" s="16" t="s">
        <v>137</v>
      </c>
      <c r="L161" s="17">
        <v>43508.1</v>
      </c>
      <c r="M161" s="17">
        <v>52445.8</v>
      </c>
      <c r="N161" s="17">
        <v>52445.8</v>
      </c>
      <c r="O161" s="17">
        <v>43508.1</v>
      </c>
      <c r="P161" s="17">
        <v>14397.6</v>
      </c>
      <c r="Q161" s="26">
        <v>29780.5</v>
      </c>
      <c r="R161" s="26">
        <v>29780.5</v>
      </c>
      <c r="S161" s="26">
        <v>29780.5</v>
      </c>
      <c r="T161" s="19">
        <v>300</v>
      </c>
    </row>
    <row r="162" spans="1:20" ht="45">
      <c r="A162" s="19">
        <v>880</v>
      </c>
      <c r="B162" s="102">
        <v>30304000</v>
      </c>
      <c r="C162" s="41" t="s">
        <v>223</v>
      </c>
      <c r="D162" s="41" t="s">
        <v>224</v>
      </c>
      <c r="E162" s="103" t="s">
        <v>225</v>
      </c>
      <c r="F162" s="104">
        <v>38718</v>
      </c>
      <c r="G162" s="16" t="s">
        <v>158</v>
      </c>
      <c r="H162" s="16" t="s">
        <v>153</v>
      </c>
      <c r="I162" s="16" t="s">
        <v>226</v>
      </c>
      <c r="J162" s="16" t="s">
        <v>63</v>
      </c>
      <c r="K162" s="16" t="s">
        <v>55</v>
      </c>
      <c r="L162" s="17">
        <v>392.8</v>
      </c>
      <c r="M162" s="17">
        <v>158.1</v>
      </c>
      <c r="N162" s="17">
        <v>101.4</v>
      </c>
      <c r="O162" s="17">
        <v>392.8</v>
      </c>
      <c r="P162" s="17">
        <v>28</v>
      </c>
      <c r="Q162" s="17">
        <v>353.6</v>
      </c>
      <c r="R162" s="17">
        <v>353.6</v>
      </c>
      <c r="S162" s="17">
        <v>353.6</v>
      </c>
      <c r="T162" s="19">
        <v>300</v>
      </c>
    </row>
    <row r="163" spans="1:20" ht="45">
      <c r="A163" s="19">
        <v>880</v>
      </c>
      <c r="B163" s="102">
        <v>30304000</v>
      </c>
      <c r="C163" s="41" t="s">
        <v>223</v>
      </c>
      <c r="D163" s="41" t="s">
        <v>224</v>
      </c>
      <c r="E163" s="103" t="s">
        <v>227</v>
      </c>
      <c r="F163" s="104">
        <v>38719</v>
      </c>
      <c r="G163" s="16" t="s">
        <v>158</v>
      </c>
      <c r="H163" s="16" t="s">
        <v>153</v>
      </c>
      <c r="I163" s="16" t="s">
        <v>226</v>
      </c>
      <c r="J163" s="16" t="s">
        <v>63</v>
      </c>
      <c r="K163" s="16" t="s">
        <v>60</v>
      </c>
      <c r="L163" s="17"/>
      <c r="M163" s="17">
        <v>74.1</v>
      </c>
      <c r="N163" s="17">
        <v>74.1</v>
      </c>
      <c r="O163" s="17"/>
      <c r="P163" s="17"/>
      <c r="Q163" s="17"/>
      <c r="R163" s="17"/>
      <c r="S163" s="17"/>
      <c r="T163" s="19">
        <v>300</v>
      </c>
    </row>
    <row r="164" spans="1:20" ht="45">
      <c r="A164" s="19">
        <v>880</v>
      </c>
      <c r="B164" s="102">
        <v>30304000</v>
      </c>
      <c r="C164" s="41" t="s">
        <v>223</v>
      </c>
      <c r="D164" s="41" t="s">
        <v>224</v>
      </c>
      <c r="E164" s="103" t="s">
        <v>228</v>
      </c>
      <c r="F164" s="104">
        <v>38720</v>
      </c>
      <c r="G164" s="16" t="s">
        <v>158</v>
      </c>
      <c r="H164" s="16" t="s">
        <v>153</v>
      </c>
      <c r="I164" s="16" t="s">
        <v>226</v>
      </c>
      <c r="J164" s="16" t="s">
        <v>63</v>
      </c>
      <c r="K164" s="16" t="s">
        <v>137</v>
      </c>
      <c r="L164" s="17">
        <v>26188</v>
      </c>
      <c r="M164" s="17">
        <v>15478.8</v>
      </c>
      <c r="N164" s="17">
        <v>15333.6</v>
      </c>
      <c r="O164" s="17">
        <v>26188.8</v>
      </c>
      <c r="P164" s="17">
        <v>4081.3</v>
      </c>
      <c r="Q164" s="17">
        <v>23571.5</v>
      </c>
      <c r="R164" s="17">
        <v>23571.5</v>
      </c>
      <c r="S164" s="17">
        <v>23571.5</v>
      </c>
      <c r="T164" s="19">
        <v>300</v>
      </c>
    </row>
    <row r="165" spans="1:20" ht="90">
      <c r="A165" s="19">
        <v>880</v>
      </c>
      <c r="B165" s="102">
        <v>30304000</v>
      </c>
      <c r="C165" s="41" t="s">
        <v>223</v>
      </c>
      <c r="D165" s="41" t="s">
        <v>229</v>
      </c>
      <c r="E165" s="103" t="s">
        <v>230</v>
      </c>
      <c r="F165" s="104">
        <v>39448</v>
      </c>
      <c r="G165" s="16" t="s">
        <v>158</v>
      </c>
      <c r="H165" s="16" t="s">
        <v>161</v>
      </c>
      <c r="I165" s="16" t="s">
        <v>226</v>
      </c>
      <c r="J165" s="16" t="s">
        <v>31</v>
      </c>
      <c r="K165" s="16" t="s">
        <v>52</v>
      </c>
      <c r="L165" s="17">
        <v>1522.2</v>
      </c>
      <c r="M165" s="17">
        <v>1473.6</v>
      </c>
      <c r="N165" s="17">
        <v>1473.6</v>
      </c>
      <c r="O165" s="17">
        <v>1522.2</v>
      </c>
      <c r="P165" s="17">
        <v>300.6</v>
      </c>
      <c r="Q165" s="17">
        <v>1522.2</v>
      </c>
      <c r="R165" s="17">
        <v>1522.2</v>
      </c>
      <c r="S165" s="17">
        <v>1522.2</v>
      </c>
      <c r="T165" s="19">
        <v>300</v>
      </c>
    </row>
    <row r="166" spans="1:20" ht="90">
      <c r="A166" s="19">
        <v>880</v>
      </c>
      <c r="B166" s="102">
        <v>30304000</v>
      </c>
      <c r="C166" s="41" t="s">
        <v>223</v>
      </c>
      <c r="D166" s="41" t="s">
        <v>229</v>
      </c>
      <c r="E166" s="103" t="s">
        <v>230</v>
      </c>
      <c r="F166" s="104">
        <v>39448</v>
      </c>
      <c r="G166" s="16" t="s">
        <v>158</v>
      </c>
      <c r="H166" s="16" t="s">
        <v>161</v>
      </c>
      <c r="I166" s="16" t="s">
        <v>226</v>
      </c>
      <c r="J166" s="16" t="s">
        <v>31</v>
      </c>
      <c r="K166" s="16" t="s">
        <v>53</v>
      </c>
      <c r="L166" s="17">
        <v>10</v>
      </c>
      <c r="M166" s="17">
        <v>1.4</v>
      </c>
      <c r="N166" s="17">
        <v>1.4</v>
      </c>
      <c r="O166" s="17">
        <v>10</v>
      </c>
      <c r="P166" s="17">
        <v>0.2</v>
      </c>
      <c r="Q166" s="17">
        <v>10</v>
      </c>
      <c r="R166" s="17">
        <v>10</v>
      </c>
      <c r="S166" s="17">
        <v>10</v>
      </c>
      <c r="T166" s="19">
        <v>300</v>
      </c>
    </row>
    <row r="167" spans="1:20" ht="90">
      <c r="A167" s="19">
        <v>880</v>
      </c>
      <c r="B167" s="102">
        <v>30304000</v>
      </c>
      <c r="C167" s="41" t="s">
        <v>223</v>
      </c>
      <c r="D167" s="41" t="s">
        <v>229</v>
      </c>
      <c r="E167" s="103" t="s">
        <v>230</v>
      </c>
      <c r="F167" s="104">
        <v>39448</v>
      </c>
      <c r="G167" s="16" t="s">
        <v>158</v>
      </c>
      <c r="H167" s="16" t="s">
        <v>161</v>
      </c>
      <c r="I167" s="16" t="s">
        <v>226</v>
      </c>
      <c r="J167" s="16" t="s">
        <v>31</v>
      </c>
      <c r="K167" s="16" t="s">
        <v>54</v>
      </c>
      <c r="L167" s="17">
        <v>459.7</v>
      </c>
      <c r="M167" s="17">
        <v>434.1</v>
      </c>
      <c r="N167" s="17">
        <v>434.1</v>
      </c>
      <c r="O167" s="17">
        <v>459.7</v>
      </c>
      <c r="P167" s="17">
        <v>85</v>
      </c>
      <c r="Q167" s="17">
        <v>459.7</v>
      </c>
      <c r="R167" s="17">
        <v>459.7</v>
      </c>
      <c r="S167" s="17">
        <v>459.7</v>
      </c>
      <c r="T167" s="19">
        <v>300</v>
      </c>
    </row>
    <row r="168" spans="1:20" ht="90">
      <c r="A168" s="19">
        <v>880</v>
      </c>
      <c r="B168" s="102">
        <v>30304000</v>
      </c>
      <c r="C168" s="41" t="s">
        <v>223</v>
      </c>
      <c r="D168" s="41" t="s">
        <v>229</v>
      </c>
      <c r="E168" s="103" t="s">
        <v>230</v>
      </c>
      <c r="F168" s="104">
        <v>39448</v>
      </c>
      <c r="G168" s="16" t="s">
        <v>158</v>
      </c>
      <c r="H168" s="16" t="s">
        <v>161</v>
      </c>
      <c r="I168" s="16" t="s">
        <v>226</v>
      </c>
      <c r="J168" s="16" t="s">
        <v>31</v>
      </c>
      <c r="K168" s="16" t="s">
        <v>55</v>
      </c>
      <c r="L168" s="17">
        <v>212</v>
      </c>
      <c r="M168" s="17">
        <v>229.4</v>
      </c>
      <c r="N168" s="17">
        <v>229.4</v>
      </c>
      <c r="O168" s="17">
        <v>212</v>
      </c>
      <c r="P168" s="17">
        <v>3.2</v>
      </c>
      <c r="Q168" s="17">
        <v>212</v>
      </c>
      <c r="R168" s="17">
        <v>212</v>
      </c>
      <c r="S168" s="17">
        <v>212</v>
      </c>
      <c r="T168" s="19">
        <v>300</v>
      </c>
    </row>
    <row r="169" spans="1:20" ht="90">
      <c r="A169" s="19">
        <v>880</v>
      </c>
      <c r="B169" s="102">
        <v>30304000</v>
      </c>
      <c r="C169" s="41" t="s">
        <v>223</v>
      </c>
      <c r="D169" s="41" t="s">
        <v>229</v>
      </c>
      <c r="E169" s="103" t="s">
        <v>230</v>
      </c>
      <c r="F169" s="104">
        <v>39448</v>
      </c>
      <c r="G169" s="16" t="s">
        <v>158</v>
      </c>
      <c r="H169" s="16" t="s">
        <v>161</v>
      </c>
      <c r="I169" s="16" t="s">
        <v>226</v>
      </c>
      <c r="J169" s="16" t="s">
        <v>31</v>
      </c>
      <c r="K169" s="16" t="s">
        <v>56</v>
      </c>
      <c r="L169" s="17">
        <v>4</v>
      </c>
      <c r="M169" s="17">
        <v>24.4</v>
      </c>
      <c r="N169" s="17">
        <v>24.4</v>
      </c>
      <c r="O169" s="17">
        <v>4</v>
      </c>
      <c r="P169" s="17">
        <v>0</v>
      </c>
      <c r="Q169" s="17">
        <v>4</v>
      </c>
      <c r="R169" s="17">
        <v>4</v>
      </c>
      <c r="S169" s="17">
        <v>4</v>
      </c>
      <c r="T169" s="19">
        <v>300</v>
      </c>
    </row>
    <row r="170" spans="1:20" ht="90">
      <c r="A170" s="19">
        <v>880</v>
      </c>
      <c r="B170" s="102">
        <v>30304000</v>
      </c>
      <c r="C170" s="41" t="s">
        <v>223</v>
      </c>
      <c r="D170" s="41" t="s">
        <v>229</v>
      </c>
      <c r="E170" s="103" t="s">
        <v>230</v>
      </c>
      <c r="F170" s="104">
        <v>39448</v>
      </c>
      <c r="G170" s="16" t="s">
        <v>158</v>
      </c>
      <c r="H170" s="16" t="s">
        <v>161</v>
      </c>
      <c r="I170" s="16" t="s">
        <v>226</v>
      </c>
      <c r="J170" s="16" t="s">
        <v>31</v>
      </c>
      <c r="K170" s="16" t="s">
        <v>57</v>
      </c>
      <c r="L170" s="17">
        <v>14</v>
      </c>
      <c r="M170" s="17">
        <v>12</v>
      </c>
      <c r="N170" s="17">
        <v>12</v>
      </c>
      <c r="O170" s="17">
        <v>14</v>
      </c>
      <c r="P170" s="17">
        <v>1.7</v>
      </c>
      <c r="Q170" s="17">
        <v>14</v>
      </c>
      <c r="R170" s="17">
        <v>14</v>
      </c>
      <c r="S170" s="17">
        <v>14</v>
      </c>
      <c r="T170" s="19">
        <v>300</v>
      </c>
    </row>
    <row r="171" spans="1:20" ht="90">
      <c r="A171" s="19">
        <v>880</v>
      </c>
      <c r="B171" s="102">
        <v>30304000</v>
      </c>
      <c r="C171" s="41" t="s">
        <v>223</v>
      </c>
      <c r="D171" s="41" t="s">
        <v>229</v>
      </c>
      <c r="E171" s="103" t="s">
        <v>230</v>
      </c>
      <c r="F171" s="104">
        <v>39448</v>
      </c>
      <c r="G171" s="16" t="s">
        <v>158</v>
      </c>
      <c r="H171" s="16" t="s">
        <v>161</v>
      </c>
      <c r="I171" s="16" t="s">
        <v>226</v>
      </c>
      <c r="J171" s="16" t="s">
        <v>31</v>
      </c>
      <c r="K171" s="16" t="s">
        <v>59</v>
      </c>
      <c r="L171" s="17">
        <v>40</v>
      </c>
      <c r="M171" s="17">
        <v>19.9</v>
      </c>
      <c r="N171" s="17">
        <v>19.9</v>
      </c>
      <c r="O171" s="17">
        <v>40</v>
      </c>
      <c r="P171" s="17">
        <v>0</v>
      </c>
      <c r="Q171" s="17">
        <v>40</v>
      </c>
      <c r="R171" s="17">
        <v>40</v>
      </c>
      <c r="S171" s="17">
        <v>40</v>
      </c>
      <c r="T171" s="19">
        <v>300</v>
      </c>
    </row>
    <row r="172" spans="1:20" ht="90">
      <c r="A172" s="19">
        <v>880</v>
      </c>
      <c r="B172" s="102">
        <v>30304000</v>
      </c>
      <c r="C172" s="41" t="s">
        <v>223</v>
      </c>
      <c r="D172" s="41" t="s">
        <v>229</v>
      </c>
      <c r="E172" s="103" t="s">
        <v>230</v>
      </c>
      <c r="F172" s="104">
        <v>39448</v>
      </c>
      <c r="G172" s="16" t="s">
        <v>158</v>
      </c>
      <c r="H172" s="16" t="s">
        <v>161</v>
      </c>
      <c r="I172" s="16" t="s">
        <v>226</v>
      </c>
      <c r="J172" s="16" t="s">
        <v>31</v>
      </c>
      <c r="K172" s="16" t="s">
        <v>60</v>
      </c>
      <c r="L172" s="17">
        <v>32</v>
      </c>
      <c r="M172" s="17">
        <v>9.4</v>
      </c>
      <c r="N172" s="17">
        <v>9.4</v>
      </c>
      <c r="O172" s="17">
        <v>32</v>
      </c>
      <c r="P172" s="17">
        <v>0</v>
      </c>
      <c r="Q172" s="17">
        <v>32</v>
      </c>
      <c r="R172" s="17">
        <v>32</v>
      </c>
      <c r="S172" s="17">
        <v>32</v>
      </c>
      <c r="T172" s="19">
        <v>300</v>
      </c>
    </row>
    <row r="173" spans="1:20" ht="90">
      <c r="A173" s="19">
        <v>880</v>
      </c>
      <c r="B173" s="102">
        <v>30304000</v>
      </c>
      <c r="C173" s="41" t="s">
        <v>223</v>
      </c>
      <c r="D173" s="41" t="s">
        <v>229</v>
      </c>
      <c r="E173" s="103" t="s">
        <v>230</v>
      </c>
      <c r="F173" s="104">
        <v>39448</v>
      </c>
      <c r="G173" s="16" t="s">
        <v>158</v>
      </c>
      <c r="H173" s="16" t="s">
        <v>161</v>
      </c>
      <c r="I173" s="16" t="s">
        <v>226</v>
      </c>
      <c r="J173" s="16" t="s">
        <v>31</v>
      </c>
      <c r="K173" s="16" t="s">
        <v>32</v>
      </c>
      <c r="L173" s="17">
        <v>9.7</v>
      </c>
      <c r="M173" s="17">
        <v>0</v>
      </c>
      <c r="N173" s="17">
        <v>0</v>
      </c>
      <c r="O173" s="17">
        <v>9.7</v>
      </c>
      <c r="P173" s="17">
        <v>0</v>
      </c>
      <c r="Q173" s="17">
        <v>9.7</v>
      </c>
      <c r="R173" s="17">
        <v>9.7</v>
      </c>
      <c r="S173" s="17">
        <v>9.7</v>
      </c>
      <c r="T173" s="19"/>
    </row>
    <row r="174" spans="1:20" ht="90">
      <c r="A174" s="19">
        <v>880</v>
      </c>
      <c r="B174" s="102">
        <v>30304000</v>
      </c>
      <c r="C174" s="41" t="s">
        <v>223</v>
      </c>
      <c r="D174" s="41" t="s">
        <v>229</v>
      </c>
      <c r="E174" s="103" t="s">
        <v>230</v>
      </c>
      <c r="F174" s="104">
        <v>39448</v>
      </c>
      <c r="G174" s="16" t="s">
        <v>158</v>
      </c>
      <c r="H174" s="16" t="s">
        <v>161</v>
      </c>
      <c r="I174" s="16" t="s">
        <v>226</v>
      </c>
      <c r="J174" s="16" t="s">
        <v>31</v>
      </c>
      <c r="K174" s="16" t="s">
        <v>101</v>
      </c>
      <c r="L174" s="17">
        <v>80</v>
      </c>
      <c r="M174" s="17">
        <v>65.9</v>
      </c>
      <c r="N174" s="17">
        <v>65.9</v>
      </c>
      <c r="O174" s="17">
        <v>80</v>
      </c>
      <c r="P174" s="17">
        <v>0</v>
      </c>
      <c r="Q174" s="17">
        <v>80</v>
      </c>
      <c r="R174" s="17">
        <v>80</v>
      </c>
      <c r="S174" s="17">
        <v>80</v>
      </c>
      <c r="T174" s="19">
        <v>300</v>
      </c>
    </row>
    <row r="175" spans="1:20" ht="90">
      <c r="A175" s="19">
        <v>880</v>
      </c>
      <c r="B175" s="102">
        <v>30304000</v>
      </c>
      <c r="C175" s="41" t="s">
        <v>223</v>
      </c>
      <c r="D175" s="41" t="s">
        <v>229</v>
      </c>
      <c r="E175" s="103" t="s">
        <v>230</v>
      </c>
      <c r="F175" s="104">
        <v>39448</v>
      </c>
      <c r="G175" s="16" t="s">
        <v>158</v>
      </c>
      <c r="H175" s="16" t="s">
        <v>161</v>
      </c>
      <c r="I175" s="16" t="s">
        <v>226</v>
      </c>
      <c r="J175" s="16" t="s">
        <v>31</v>
      </c>
      <c r="K175" s="16" t="s">
        <v>34</v>
      </c>
      <c r="L175" s="17">
        <v>140.4</v>
      </c>
      <c r="M175" s="17">
        <v>232.1</v>
      </c>
      <c r="N175" s="17">
        <v>232.1</v>
      </c>
      <c r="O175" s="17">
        <v>140.4</v>
      </c>
      <c r="P175" s="17">
        <v>16</v>
      </c>
      <c r="Q175" s="17">
        <v>140.4</v>
      </c>
      <c r="R175" s="17">
        <v>140.4</v>
      </c>
      <c r="S175" s="17">
        <v>140.4</v>
      </c>
      <c r="T175" s="19">
        <v>300</v>
      </c>
    </row>
    <row r="176" spans="1:20" ht="78.75">
      <c r="A176" s="19">
        <v>880</v>
      </c>
      <c r="B176" s="102">
        <v>30317000</v>
      </c>
      <c r="C176" s="41" t="s">
        <v>231</v>
      </c>
      <c r="D176" s="41" t="s">
        <v>232</v>
      </c>
      <c r="E176" s="103" t="s">
        <v>205</v>
      </c>
      <c r="F176" s="104">
        <v>40179</v>
      </c>
      <c r="G176" s="16" t="s">
        <v>157</v>
      </c>
      <c r="H176" s="16" t="s">
        <v>157</v>
      </c>
      <c r="I176" s="16" t="s">
        <v>129</v>
      </c>
      <c r="J176" s="16" t="s">
        <v>31</v>
      </c>
      <c r="K176" s="16" t="s">
        <v>137</v>
      </c>
      <c r="L176" s="17">
        <v>1772.9</v>
      </c>
      <c r="M176" s="17">
        <v>1003.9</v>
      </c>
      <c r="N176" s="17">
        <v>1003.9</v>
      </c>
      <c r="O176" s="17">
        <v>1772.9</v>
      </c>
      <c r="P176" s="17">
        <v>0</v>
      </c>
      <c r="Q176" s="17">
        <v>1772.9</v>
      </c>
      <c r="R176" s="17">
        <v>1772.9</v>
      </c>
      <c r="S176" s="17">
        <v>1772.9</v>
      </c>
      <c r="T176" s="19">
        <v>300</v>
      </c>
    </row>
    <row r="177" spans="1:20" ht="56.25">
      <c r="A177" s="19">
        <v>880</v>
      </c>
      <c r="B177" s="102">
        <v>30317000</v>
      </c>
      <c r="C177" s="41" t="s">
        <v>231</v>
      </c>
      <c r="D177" s="41" t="s">
        <v>233</v>
      </c>
      <c r="E177" s="103" t="s">
        <v>205</v>
      </c>
      <c r="F177" s="104" t="s">
        <v>234</v>
      </c>
      <c r="G177" s="16" t="s">
        <v>158</v>
      </c>
      <c r="H177" s="16" t="s">
        <v>156</v>
      </c>
      <c r="I177" s="16" t="s">
        <v>235</v>
      </c>
      <c r="J177" s="16" t="s">
        <v>38</v>
      </c>
      <c r="K177" s="16" t="s">
        <v>39</v>
      </c>
      <c r="L177" s="17">
        <v>495</v>
      </c>
      <c r="M177" s="17"/>
      <c r="N177" s="17"/>
      <c r="O177" s="17">
        <v>495</v>
      </c>
      <c r="P177" s="17"/>
      <c r="Q177" s="17">
        <v>298.4</v>
      </c>
      <c r="R177" s="17"/>
      <c r="S177" s="17"/>
      <c r="T177" s="19"/>
    </row>
    <row r="178" spans="1:20" ht="45">
      <c r="A178" s="19">
        <v>880</v>
      </c>
      <c r="B178" s="102">
        <v>30317000</v>
      </c>
      <c r="C178" s="41" t="s">
        <v>231</v>
      </c>
      <c r="D178" s="41" t="s">
        <v>236</v>
      </c>
      <c r="E178" s="103" t="s">
        <v>205</v>
      </c>
      <c r="F178" s="103" t="s">
        <v>237</v>
      </c>
      <c r="G178" s="16" t="s">
        <v>158</v>
      </c>
      <c r="H178" s="16" t="s">
        <v>156</v>
      </c>
      <c r="I178" s="16" t="s">
        <v>238</v>
      </c>
      <c r="J178" s="16" t="s">
        <v>38</v>
      </c>
      <c r="K178" s="16" t="s">
        <v>39</v>
      </c>
      <c r="L178" s="17">
        <v>100</v>
      </c>
      <c r="M178" s="17">
        <v>73.1</v>
      </c>
      <c r="N178" s="17">
        <v>73.1</v>
      </c>
      <c r="O178" s="17">
        <v>100</v>
      </c>
      <c r="P178" s="17">
        <v>0</v>
      </c>
      <c r="Q178" s="17">
        <v>30</v>
      </c>
      <c r="R178" s="17">
        <v>30</v>
      </c>
      <c r="S178" s="17"/>
      <c r="T178" s="19">
        <v>300</v>
      </c>
    </row>
    <row r="179" spans="1:20" ht="90">
      <c r="A179" s="19">
        <v>880</v>
      </c>
      <c r="B179" s="102">
        <v>30317000</v>
      </c>
      <c r="C179" s="41" t="s">
        <v>231</v>
      </c>
      <c r="D179" s="41" t="s">
        <v>239</v>
      </c>
      <c r="E179" s="103" t="s">
        <v>205</v>
      </c>
      <c r="F179" s="103" t="s">
        <v>240</v>
      </c>
      <c r="G179" s="16" t="s">
        <v>158</v>
      </c>
      <c r="H179" s="16" t="s">
        <v>156</v>
      </c>
      <c r="I179" s="16" t="s">
        <v>241</v>
      </c>
      <c r="J179" s="16" t="s">
        <v>38</v>
      </c>
      <c r="K179" s="16" t="s">
        <v>39</v>
      </c>
      <c r="L179" s="17"/>
      <c r="M179" s="17">
        <v>110</v>
      </c>
      <c r="N179" s="17">
        <v>110</v>
      </c>
      <c r="O179" s="17"/>
      <c r="P179" s="17"/>
      <c r="Q179" s="17"/>
      <c r="R179" s="17"/>
      <c r="S179" s="17"/>
      <c r="T179" s="19">
        <v>300</v>
      </c>
    </row>
    <row r="180" spans="1:20" ht="90">
      <c r="A180" s="19">
        <v>880</v>
      </c>
      <c r="B180" s="102">
        <v>30317000</v>
      </c>
      <c r="C180" s="41" t="s">
        <v>231</v>
      </c>
      <c r="D180" s="41" t="s">
        <v>239</v>
      </c>
      <c r="E180" s="103" t="s">
        <v>205</v>
      </c>
      <c r="F180" s="103" t="s">
        <v>240</v>
      </c>
      <c r="G180" s="16" t="s">
        <v>158</v>
      </c>
      <c r="H180" s="16" t="s">
        <v>156</v>
      </c>
      <c r="I180" s="16" t="s">
        <v>242</v>
      </c>
      <c r="J180" s="16" t="s">
        <v>38</v>
      </c>
      <c r="K180" s="16" t="s">
        <v>39</v>
      </c>
      <c r="L180" s="17">
        <v>80</v>
      </c>
      <c r="M180" s="17"/>
      <c r="N180" s="17"/>
      <c r="O180" s="17">
        <v>80</v>
      </c>
      <c r="P180" s="17">
        <v>0</v>
      </c>
      <c r="Q180" s="17">
        <v>55</v>
      </c>
      <c r="R180" s="17">
        <v>55</v>
      </c>
      <c r="S180" s="17"/>
      <c r="T180" s="19"/>
    </row>
    <row r="181" spans="1:20" ht="33.75">
      <c r="A181" s="19">
        <v>880</v>
      </c>
      <c r="B181" s="102">
        <v>30317000</v>
      </c>
      <c r="C181" s="41" t="s">
        <v>231</v>
      </c>
      <c r="D181" s="41" t="s">
        <v>243</v>
      </c>
      <c r="E181" s="103" t="s">
        <v>244</v>
      </c>
      <c r="F181" s="104">
        <v>38353</v>
      </c>
      <c r="G181" s="16" t="s">
        <v>158</v>
      </c>
      <c r="H181" s="16" t="s">
        <v>156</v>
      </c>
      <c r="I181" s="16" t="s">
        <v>129</v>
      </c>
      <c r="J181" s="16" t="s">
        <v>73</v>
      </c>
      <c r="K181" s="16" t="s">
        <v>39</v>
      </c>
      <c r="L181" s="17">
        <v>20082.2</v>
      </c>
      <c r="M181" s="17">
        <v>19790.5</v>
      </c>
      <c r="N181" s="17">
        <v>19790.5</v>
      </c>
      <c r="O181" s="17">
        <v>20082.2</v>
      </c>
      <c r="P181" s="17">
        <v>4016.4</v>
      </c>
      <c r="Q181" s="17">
        <v>19459.6</v>
      </c>
      <c r="R181" s="17">
        <v>19459.6</v>
      </c>
      <c r="S181" s="17">
        <v>19459.6</v>
      </c>
      <c r="T181" s="19">
        <v>300</v>
      </c>
    </row>
    <row r="182" spans="1:20" ht="45">
      <c r="A182" s="19">
        <v>880</v>
      </c>
      <c r="B182" s="102">
        <v>30317000</v>
      </c>
      <c r="C182" s="41" t="s">
        <v>231</v>
      </c>
      <c r="D182" s="41" t="s">
        <v>245</v>
      </c>
      <c r="E182" s="105"/>
      <c r="F182" s="104">
        <v>35066</v>
      </c>
      <c r="G182" s="16" t="s">
        <v>158</v>
      </c>
      <c r="H182" s="16" t="s">
        <v>153</v>
      </c>
      <c r="I182" s="16" t="s">
        <v>129</v>
      </c>
      <c r="J182" s="16" t="s">
        <v>63</v>
      </c>
      <c r="K182" s="16" t="s">
        <v>60</v>
      </c>
      <c r="L182" s="17">
        <v>107.2</v>
      </c>
      <c r="M182" s="17">
        <v>35.5</v>
      </c>
      <c r="N182" s="17">
        <v>35.5</v>
      </c>
      <c r="O182" s="17">
        <v>107.2</v>
      </c>
      <c r="P182" s="17">
        <v>12.9</v>
      </c>
      <c r="Q182" s="17">
        <v>107.2</v>
      </c>
      <c r="R182" s="17">
        <v>107.2</v>
      </c>
      <c r="S182" s="17">
        <v>107.2</v>
      </c>
      <c r="T182" s="19">
        <v>300</v>
      </c>
    </row>
    <row r="183" spans="1:20" ht="123.75">
      <c r="A183" s="19">
        <v>880</v>
      </c>
      <c r="B183" s="102">
        <v>30317000</v>
      </c>
      <c r="C183" s="41" t="s">
        <v>231</v>
      </c>
      <c r="D183" s="41" t="s">
        <v>246</v>
      </c>
      <c r="E183" s="105"/>
      <c r="F183" s="104">
        <v>36161</v>
      </c>
      <c r="G183" s="16" t="s">
        <v>158</v>
      </c>
      <c r="H183" s="16" t="s">
        <v>153</v>
      </c>
      <c r="I183" s="16" t="s">
        <v>129</v>
      </c>
      <c r="J183" s="16" t="s">
        <v>63</v>
      </c>
      <c r="K183" s="16" t="s">
        <v>137</v>
      </c>
      <c r="L183" s="17">
        <v>3753</v>
      </c>
      <c r="M183" s="17">
        <v>3754.3</v>
      </c>
      <c r="N183" s="17">
        <v>3754.3</v>
      </c>
      <c r="O183" s="17">
        <v>3753</v>
      </c>
      <c r="P183" s="17">
        <v>750.6</v>
      </c>
      <c r="Q183" s="83">
        <v>3753</v>
      </c>
      <c r="R183" s="83">
        <v>3753</v>
      </c>
      <c r="S183" s="83">
        <v>3753</v>
      </c>
      <c r="T183" s="19">
        <v>300</v>
      </c>
    </row>
    <row r="184" spans="1:20" ht="45">
      <c r="A184" s="19">
        <v>880</v>
      </c>
      <c r="B184" s="102">
        <v>30317000</v>
      </c>
      <c r="C184" s="41" t="s">
        <v>231</v>
      </c>
      <c r="D184" s="41" t="s">
        <v>236</v>
      </c>
      <c r="E184" s="103" t="s">
        <v>205</v>
      </c>
      <c r="F184" s="103" t="s">
        <v>237</v>
      </c>
      <c r="G184" s="16" t="s">
        <v>158</v>
      </c>
      <c r="H184" s="16" t="s">
        <v>161</v>
      </c>
      <c r="I184" s="16" t="s">
        <v>238</v>
      </c>
      <c r="J184" s="16" t="s">
        <v>31</v>
      </c>
      <c r="K184" s="16" t="s">
        <v>56</v>
      </c>
      <c r="L184" s="17"/>
      <c r="M184" s="17">
        <v>6.2</v>
      </c>
      <c r="N184" s="17">
        <v>6.2</v>
      </c>
      <c r="O184" s="17"/>
      <c r="P184" s="17"/>
      <c r="Q184" s="17"/>
      <c r="R184" s="17"/>
      <c r="S184" s="17"/>
      <c r="T184" s="19">
        <v>300</v>
      </c>
    </row>
    <row r="185" spans="1:20" ht="45">
      <c r="A185" s="19">
        <v>880</v>
      </c>
      <c r="B185" s="102">
        <v>30317000</v>
      </c>
      <c r="C185" s="41" t="s">
        <v>231</v>
      </c>
      <c r="D185" s="41" t="s">
        <v>236</v>
      </c>
      <c r="E185" s="103" t="s">
        <v>205</v>
      </c>
      <c r="F185" s="103" t="s">
        <v>237</v>
      </c>
      <c r="G185" s="16" t="s">
        <v>158</v>
      </c>
      <c r="H185" s="16" t="s">
        <v>161</v>
      </c>
      <c r="I185" s="16" t="s">
        <v>238</v>
      </c>
      <c r="J185" s="16" t="s">
        <v>31</v>
      </c>
      <c r="K185" s="16" t="s">
        <v>60</v>
      </c>
      <c r="L185" s="17">
        <v>190.2</v>
      </c>
      <c r="M185" s="17">
        <v>182.6</v>
      </c>
      <c r="N185" s="17">
        <v>182.6</v>
      </c>
      <c r="O185" s="17">
        <v>190.2</v>
      </c>
      <c r="P185" s="17"/>
      <c r="Q185" s="17">
        <v>187.2</v>
      </c>
      <c r="R185" s="17">
        <v>187.2</v>
      </c>
      <c r="S185" s="17"/>
      <c r="T185" s="19">
        <v>300</v>
      </c>
    </row>
    <row r="186" spans="1:20" ht="45">
      <c r="A186" s="19">
        <v>880</v>
      </c>
      <c r="B186" s="102">
        <v>30317000</v>
      </c>
      <c r="C186" s="41" t="s">
        <v>231</v>
      </c>
      <c r="D186" s="41" t="s">
        <v>236</v>
      </c>
      <c r="E186" s="103" t="s">
        <v>205</v>
      </c>
      <c r="F186" s="103" t="s">
        <v>237</v>
      </c>
      <c r="G186" s="16" t="s">
        <v>158</v>
      </c>
      <c r="H186" s="16" t="s">
        <v>161</v>
      </c>
      <c r="I186" s="16" t="s">
        <v>238</v>
      </c>
      <c r="J186" s="16" t="s">
        <v>31</v>
      </c>
      <c r="K186" s="16" t="s">
        <v>32</v>
      </c>
      <c r="L186" s="17">
        <v>86.7</v>
      </c>
      <c r="M186" s="17">
        <v>90.2</v>
      </c>
      <c r="N186" s="17">
        <v>90.2</v>
      </c>
      <c r="O186" s="17">
        <v>86.7</v>
      </c>
      <c r="P186" s="17">
        <v>1.2</v>
      </c>
      <c r="Q186" s="17">
        <v>92.7</v>
      </c>
      <c r="R186" s="17">
        <v>92.7</v>
      </c>
      <c r="S186" s="17"/>
      <c r="T186" s="19">
        <v>300</v>
      </c>
    </row>
    <row r="187" spans="1:20" ht="45">
      <c r="A187" s="19">
        <v>880</v>
      </c>
      <c r="B187" s="102">
        <v>30317000</v>
      </c>
      <c r="C187" s="41" t="s">
        <v>231</v>
      </c>
      <c r="D187" s="41" t="s">
        <v>236</v>
      </c>
      <c r="E187" s="103" t="s">
        <v>205</v>
      </c>
      <c r="F187" s="103" t="s">
        <v>237</v>
      </c>
      <c r="G187" s="16" t="s">
        <v>158</v>
      </c>
      <c r="H187" s="16" t="s">
        <v>161</v>
      </c>
      <c r="I187" s="16" t="s">
        <v>238</v>
      </c>
      <c r="J187" s="16" t="s">
        <v>31</v>
      </c>
      <c r="K187" s="16" t="s">
        <v>34</v>
      </c>
      <c r="L187" s="17">
        <v>31.8</v>
      </c>
      <c r="M187" s="17">
        <v>29.7</v>
      </c>
      <c r="N187" s="17">
        <v>29.7</v>
      </c>
      <c r="O187" s="17">
        <v>31.8</v>
      </c>
      <c r="P187" s="17"/>
      <c r="Q187" s="17">
        <v>28.8</v>
      </c>
      <c r="R187" s="17">
        <v>28.8</v>
      </c>
      <c r="S187" s="17"/>
      <c r="T187" s="19">
        <v>300</v>
      </c>
    </row>
    <row r="188" spans="1:20" ht="90">
      <c r="A188" s="19">
        <v>880</v>
      </c>
      <c r="B188" s="102">
        <v>30317000</v>
      </c>
      <c r="C188" s="41" t="s">
        <v>231</v>
      </c>
      <c r="D188" s="41" t="s">
        <v>229</v>
      </c>
      <c r="E188" s="103" t="s">
        <v>247</v>
      </c>
      <c r="F188" s="104">
        <v>39448</v>
      </c>
      <c r="G188" s="16" t="s">
        <v>158</v>
      </c>
      <c r="H188" s="16" t="s">
        <v>161</v>
      </c>
      <c r="I188" s="16" t="s">
        <v>129</v>
      </c>
      <c r="J188" s="16" t="s">
        <v>31</v>
      </c>
      <c r="K188" s="16" t="s">
        <v>52</v>
      </c>
      <c r="L188" s="17">
        <v>4621.3</v>
      </c>
      <c r="M188" s="17">
        <v>4587.7</v>
      </c>
      <c r="N188" s="17">
        <v>4587.7</v>
      </c>
      <c r="O188" s="17">
        <v>4621.3</v>
      </c>
      <c r="P188" s="17">
        <v>792.6</v>
      </c>
      <c r="Q188" s="17">
        <v>4621.3</v>
      </c>
      <c r="R188" s="17">
        <v>4621.3</v>
      </c>
      <c r="S188" s="17">
        <v>4621.3</v>
      </c>
      <c r="T188" s="19">
        <v>300</v>
      </c>
    </row>
    <row r="189" spans="1:20" ht="90">
      <c r="A189" s="19">
        <v>880</v>
      </c>
      <c r="B189" s="102">
        <v>30317000</v>
      </c>
      <c r="C189" s="41" t="s">
        <v>231</v>
      </c>
      <c r="D189" s="41" t="s">
        <v>229</v>
      </c>
      <c r="E189" s="103" t="s">
        <v>247</v>
      </c>
      <c r="F189" s="104">
        <v>39448</v>
      </c>
      <c r="G189" s="16" t="s">
        <v>158</v>
      </c>
      <c r="H189" s="16" t="s">
        <v>161</v>
      </c>
      <c r="I189" s="16" t="s">
        <v>129</v>
      </c>
      <c r="J189" s="16" t="s">
        <v>31</v>
      </c>
      <c r="K189" s="16" t="s">
        <v>53</v>
      </c>
      <c r="L189" s="17">
        <v>5</v>
      </c>
      <c r="M189" s="17">
        <v>1.6</v>
      </c>
      <c r="N189" s="17">
        <v>1.6</v>
      </c>
      <c r="O189" s="17">
        <v>5</v>
      </c>
      <c r="P189" s="17">
        <v>0.4</v>
      </c>
      <c r="Q189" s="17">
        <v>5</v>
      </c>
      <c r="R189" s="17">
        <v>5</v>
      </c>
      <c r="S189" s="17">
        <v>5</v>
      </c>
      <c r="T189" s="19">
        <v>300</v>
      </c>
    </row>
    <row r="190" spans="1:20" ht="90">
      <c r="A190" s="19">
        <v>880</v>
      </c>
      <c r="B190" s="102">
        <v>30317000</v>
      </c>
      <c r="C190" s="41" t="s">
        <v>231</v>
      </c>
      <c r="D190" s="41" t="s">
        <v>229</v>
      </c>
      <c r="E190" s="103" t="s">
        <v>247</v>
      </c>
      <c r="F190" s="104">
        <v>39448</v>
      </c>
      <c r="G190" s="16" t="s">
        <v>158</v>
      </c>
      <c r="H190" s="16" t="s">
        <v>161</v>
      </c>
      <c r="I190" s="16" t="s">
        <v>129</v>
      </c>
      <c r="J190" s="16" t="s">
        <v>31</v>
      </c>
      <c r="K190" s="16" t="s">
        <v>54</v>
      </c>
      <c r="L190" s="17">
        <v>1395.6</v>
      </c>
      <c r="M190" s="17">
        <v>1360.3</v>
      </c>
      <c r="N190" s="17">
        <v>1360.3</v>
      </c>
      <c r="O190" s="17">
        <v>1395.6</v>
      </c>
      <c r="P190" s="17">
        <v>233.4</v>
      </c>
      <c r="Q190" s="17">
        <v>1395.6</v>
      </c>
      <c r="R190" s="17">
        <v>1395.6</v>
      </c>
      <c r="S190" s="17">
        <v>1395.6</v>
      </c>
      <c r="T190" s="19">
        <v>300</v>
      </c>
    </row>
    <row r="191" spans="1:20" ht="90">
      <c r="A191" s="19">
        <v>880</v>
      </c>
      <c r="B191" s="102">
        <v>30317000</v>
      </c>
      <c r="C191" s="41" t="s">
        <v>231</v>
      </c>
      <c r="D191" s="41" t="s">
        <v>229</v>
      </c>
      <c r="E191" s="103" t="s">
        <v>247</v>
      </c>
      <c r="F191" s="104">
        <v>39448</v>
      </c>
      <c r="G191" s="16" t="s">
        <v>158</v>
      </c>
      <c r="H191" s="16" t="s">
        <v>161</v>
      </c>
      <c r="I191" s="16" t="s">
        <v>129</v>
      </c>
      <c r="J191" s="16" t="s">
        <v>31</v>
      </c>
      <c r="K191" s="16" t="s">
        <v>55</v>
      </c>
      <c r="L191" s="17">
        <v>200</v>
      </c>
      <c r="M191" s="17">
        <v>188</v>
      </c>
      <c r="N191" s="17">
        <v>188</v>
      </c>
      <c r="O191" s="17">
        <v>200</v>
      </c>
      <c r="P191" s="17">
        <v>50</v>
      </c>
      <c r="Q191" s="17">
        <v>200</v>
      </c>
      <c r="R191" s="17">
        <v>200</v>
      </c>
      <c r="S191" s="17">
        <v>200</v>
      </c>
      <c r="T191" s="19">
        <v>300</v>
      </c>
    </row>
    <row r="192" spans="1:20" ht="90">
      <c r="A192" s="19">
        <v>880</v>
      </c>
      <c r="B192" s="102">
        <v>30317000</v>
      </c>
      <c r="C192" s="41" t="s">
        <v>231</v>
      </c>
      <c r="D192" s="41" t="s">
        <v>229</v>
      </c>
      <c r="E192" s="103" t="s">
        <v>247</v>
      </c>
      <c r="F192" s="104">
        <v>39448</v>
      </c>
      <c r="G192" s="16" t="s">
        <v>158</v>
      </c>
      <c r="H192" s="16" t="s">
        <v>161</v>
      </c>
      <c r="I192" s="16" t="s">
        <v>129</v>
      </c>
      <c r="J192" s="16" t="s">
        <v>31</v>
      </c>
      <c r="K192" s="16" t="s">
        <v>56</v>
      </c>
      <c r="L192" s="17">
        <v>3</v>
      </c>
      <c r="M192" s="17"/>
      <c r="N192" s="17"/>
      <c r="O192" s="17">
        <v>3</v>
      </c>
      <c r="P192" s="17"/>
      <c r="Q192" s="17">
        <v>3</v>
      </c>
      <c r="R192" s="17">
        <v>3</v>
      </c>
      <c r="S192" s="17">
        <v>3</v>
      </c>
      <c r="T192" s="19"/>
    </row>
    <row r="193" spans="1:20" ht="90">
      <c r="A193" s="19">
        <v>880</v>
      </c>
      <c r="B193" s="102">
        <v>30317000</v>
      </c>
      <c r="C193" s="41" t="s">
        <v>231</v>
      </c>
      <c r="D193" s="41" t="s">
        <v>229</v>
      </c>
      <c r="E193" s="103" t="s">
        <v>247</v>
      </c>
      <c r="F193" s="104">
        <v>39448</v>
      </c>
      <c r="G193" s="16" t="s">
        <v>158</v>
      </c>
      <c r="H193" s="16" t="s">
        <v>161</v>
      </c>
      <c r="I193" s="16" t="s">
        <v>129</v>
      </c>
      <c r="J193" s="16" t="s">
        <v>31</v>
      </c>
      <c r="K193" s="16" t="s">
        <v>59</v>
      </c>
      <c r="L193" s="17">
        <v>28</v>
      </c>
      <c r="M193" s="17">
        <v>44.8</v>
      </c>
      <c r="N193" s="17">
        <v>44.8</v>
      </c>
      <c r="O193" s="17">
        <v>28</v>
      </c>
      <c r="P193" s="17">
        <v>1</v>
      </c>
      <c r="Q193" s="17">
        <v>28</v>
      </c>
      <c r="R193" s="17">
        <v>28</v>
      </c>
      <c r="S193" s="17">
        <v>28</v>
      </c>
      <c r="T193" s="19">
        <v>300</v>
      </c>
    </row>
    <row r="194" spans="1:20" ht="90">
      <c r="A194" s="19">
        <v>880</v>
      </c>
      <c r="B194" s="102">
        <v>30317000</v>
      </c>
      <c r="C194" s="41" t="s">
        <v>231</v>
      </c>
      <c r="D194" s="41" t="s">
        <v>229</v>
      </c>
      <c r="E194" s="103" t="s">
        <v>247</v>
      </c>
      <c r="F194" s="104">
        <v>39448</v>
      </c>
      <c r="G194" s="16" t="s">
        <v>158</v>
      </c>
      <c r="H194" s="16" t="s">
        <v>161</v>
      </c>
      <c r="I194" s="16" t="s">
        <v>129</v>
      </c>
      <c r="J194" s="16" t="s">
        <v>31</v>
      </c>
      <c r="K194" s="16" t="s">
        <v>60</v>
      </c>
      <c r="L194" s="17">
        <v>107.9</v>
      </c>
      <c r="M194" s="17">
        <v>105.4</v>
      </c>
      <c r="N194" s="17">
        <v>105.4</v>
      </c>
      <c r="O194" s="17">
        <v>107.9</v>
      </c>
      <c r="P194" s="17">
        <v>14.5</v>
      </c>
      <c r="Q194" s="17">
        <v>111.6</v>
      </c>
      <c r="R194" s="17">
        <v>111.6</v>
      </c>
      <c r="S194" s="17">
        <v>111.6</v>
      </c>
      <c r="T194" s="19">
        <v>300</v>
      </c>
    </row>
    <row r="195" spans="1:20" ht="90">
      <c r="A195" s="19">
        <v>880</v>
      </c>
      <c r="B195" s="102">
        <v>30317000</v>
      </c>
      <c r="C195" s="41" t="s">
        <v>231</v>
      </c>
      <c r="D195" s="41" t="s">
        <v>229</v>
      </c>
      <c r="E195" s="103" t="s">
        <v>247</v>
      </c>
      <c r="F195" s="104">
        <v>39448</v>
      </c>
      <c r="G195" s="16" t="s">
        <v>158</v>
      </c>
      <c r="H195" s="16" t="s">
        <v>161</v>
      </c>
      <c r="I195" s="16" t="s">
        <v>129</v>
      </c>
      <c r="J195" s="16" t="s">
        <v>31</v>
      </c>
      <c r="K195" s="16" t="s">
        <v>32</v>
      </c>
      <c r="L195" s="17">
        <v>64.8</v>
      </c>
      <c r="M195" s="17">
        <v>65</v>
      </c>
      <c r="N195" s="17">
        <v>65</v>
      </c>
      <c r="O195" s="17">
        <v>64.8</v>
      </c>
      <c r="P195" s="17">
        <v>1.5</v>
      </c>
      <c r="Q195" s="17">
        <v>68.8</v>
      </c>
      <c r="R195" s="17">
        <v>68.8</v>
      </c>
      <c r="S195" s="17">
        <v>68.8</v>
      </c>
      <c r="T195" s="19">
        <v>300</v>
      </c>
    </row>
    <row r="196" spans="1:20" ht="90">
      <c r="A196" s="19">
        <v>880</v>
      </c>
      <c r="B196" s="102">
        <v>30317000</v>
      </c>
      <c r="C196" s="41" t="s">
        <v>231</v>
      </c>
      <c r="D196" s="41" t="s">
        <v>229</v>
      </c>
      <c r="E196" s="103" t="s">
        <v>247</v>
      </c>
      <c r="F196" s="104">
        <v>39448</v>
      </c>
      <c r="G196" s="16" t="s">
        <v>158</v>
      </c>
      <c r="H196" s="16" t="s">
        <v>161</v>
      </c>
      <c r="I196" s="16" t="s">
        <v>129</v>
      </c>
      <c r="J196" s="16" t="s">
        <v>31</v>
      </c>
      <c r="K196" s="16" t="s">
        <v>101</v>
      </c>
      <c r="L196" s="17">
        <v>80.8</v>
      </c>
      <c r="M196" s="17">
        <v>186</v>
      </c>
      <c r="N196" s="17">
        <v>186</v>
      </c>
      <c r="O196" s="17">
        <v>80.8</v>
      </c>
      <c r="P196" s="17">
        <v>12.3</v>
      </c>
      <c r="Q196" s="17">
        <v>80.8</v>
      </c>
      <c r="R196" s="17">
        <v>80.8</v>
      </c>
      <c r="S196" s="17">
        <v>80.8</v>
      </c>
      <c r="T196" s="19">
        <v>300</v>
      </c>
    </row>
    <row r="197" spans="1:20" ht="90">
      <c r="A197" s="19">
        <v>880</v>
      </c>
      <c r="B197" s="102">
        <v>30317000</v>
      </c>
      <c r="C197" s="41" t="s">
        <v>231</v>
      </c>
      <c r="D197" s="41" t="s">
        <v>229</v>
      </c>
      <c r="E197" s="103" t="s">
        <v>247</v>
      </c>
      <c r="F197" s="104">
        <v>39448</v>
      </c>
      <c r="G197" s="16" t="s">
        <v>158</v>
      </c>
      <c r="H197" s="16" t="s">
        <v>161</v>
      </c>
      <c r="I197" s="16" t="s">
        <v>129</v>
      </c>
      <c r="J197" s="16" t="s">
        <v>31</v>
      </c>
      <c r="K197" s="16" t="s">
        <v>34</v>
      </c>
      <c r="L197" s="17">
        <v>279.7</v>
      </c>
      <c r="M197" s="17">
        <v>283.7</v>
      </c>
      <c r="N197" s="17">
        <v>283.7</v>
      </c>
      <c r="O197" s="17">
        <v>279.7</v>
      </c>
      <c r="P197" s="17">
        <v>32.4</v>
      </c>
      <c r="Q197" s="17">
        <v>110.4</v>
      </c>
      <c r="R197" s="17">
        <v>110.4</v>
      </c>
      <c r="S197" s="17">
        <v>110.4</v>
      </c>
      <c r="T197" s="19">
        <v>300</v>
      </c>
    </row>
    <row r="198" spans="1:20" ht="157.5">
      <c r="A198" s="19">
        <v>880</v>
      </c>
      <c r="B198" s="102">
        <v>30320000</v>
      </c>
      <c r="C198" s="41" t="s">
        <v>248</v>
      </c>
      <c r="D198" s="41" t="s">
        <v>249</v>
      </c>
      <c r="E198" s="103" t="s">
        <v>205</v>
      </c>
      <c r="F198" s="104">
        <v>39448</v>
      </c>
      <c r="G198" s="16" t="s">
        <v>158</v>
      </c>
      <c r="H198" s="16" t="s">
        <v>161</v>
      </c>
      <c r="I198" s="16" t="s">
        <v>250</v>
      </c>
      <c r="J198" s="16" t="s">
        <v>31</v>
      </c>
      <c r="K198" s="16" t="s">
        <v>52</v>
      </c>
      <c r="L198" s="17">
        <v>193.6</v>
      </c>
      <c r="M198" s="17">
        <v>194.7</v>
      </c>
      <c r="N198" s="17">
        <v>194.7</v>
      </c>
      <c r="O198" s="17">
        <v>193.6</v>
      </c>
      <c r="P198" s="17">
        <v>35.2</v>
      </c>
      <c r="Q198" s="17">
        <v>193.6</v>
      </c>
      <c r="R198" s="17">
        <v>193.6</v>
      </c>
      <c r="S198" s="17">
        <v>193.6</v>
      </c>
      <c r="T198" s="19">
        <v>300</v>
      </c>
    </row>
    <row r="199" spans="1:20" ht="157.5">
      <c r="A199" s="19">
        <v>880</v>
      </c>
      <c r="B199" s="102">
        <v>30320000</v>
      </c>
      <c r="C199" s="41" t="s">
        <v>248</v>
      </c>
      <c r="D199" s="41" t="s">
        <v>249</v>
      </c>
      <c r="E199" s="103" t="s">
        <v>205</v>
      </c>
      <c r="F199" s="104">
        <v>39448</v>
      </c>
      <c r="G199" s="16" t="s">
        <v>158</v>
      </c>
      <c r="H199" s="16" t="s">
        <v>161</v>
      </c>
      <c r="I199" s="16" t="s">
        <v>250</v>
      </c>
      <c r="J199" s="16" t="s">
        <v>31</v>
      </c>
      <c r="K199" s="16" t="s">
        <v>53</v>
      </c>
      <c r="L199" s="17">
        <v>2</v>
      </c>
      <c r="M199" s="17"/>
      <c r="N199" s="17"/>
      <c r="O199" s="17">
        <v>2</v>
      </c>
      <c r="P199" s="17"/>
      <c r="Q199" s="17">
        <v>2</v>
      </c>
      <c r="R199" s="17">
        <v>2</v>
      </c>
      <c r="S199" s="17">
        <v>2</v>
      </c>
      <c r="T199" s="19"/>
    </row>
    <row r="200" spans="1:20" ht="157.5">
      <c r="A200" s="19">
        <v>880</v>
      </c>
      <c r="B200" s="102">
        <v>30320000</v>
      </c>
      <c r="C200" s="41" t="s">
        <v>248</v>
      </c>
      <c r="D200" s="41" t="s">
        <v>249</v>
      </c>
      <c r="E200" s="103" t="s">
        <v>205</v>
      </c>
      <c r="F200" s="104">
        <v>39448</v>
      </c>
      <c r="G200" s="16" t="s">
        <v>158</v>
      </c>
      <c r="H200" s="16" t="s">
        <v>161</v>
      </c>
      <c r="I200" s="16" t="s">
        <v>250</v>
      </c>
      <c r="J200" s="16" t="s">
        <v>31</v>
      </c>
      <c r="K200" s="16" t="s">
        <v>54</v>
      </c>
      <c r="L200" s="17">
        <v>58.4</v>
      </c>
      <c r="M200" s="17">
        <v>57.3</v>
      </c>
      <c r="N200" s="17">
        <v>57.3</v>
      </c>
      <c r="O200" s="17">
        <v>58.4</v>
      </c>
      <c r="P200" s="17">
        <v>9.3</v>
      </c>
      <c r="Q200" s="17">
        <v>57.2</v>
      </c>
      <c r="R200" s="17">
        <v>57.2</v>
      </c>
      <c r="S200" s="17">
        <v>57.2</v>
      </c>
      <c r="T200" s="19">
        <v>300</v>
      </c>
    </row>
    <row r="201" spans="1:20" ht="157.5">
      <c r="A201" s="19">
        <v>880</v>
      </c>
      <c r="B201" s="102">
        <v>30320000</v>
      </c>
      <c r="C201" s="41" t="s">
        <v>248</v>
      </c>
      <c r="D201" s="41" t="s">
        <v>249</v>
      </c>
      <c r="E201" s="103" t="s">
        <v>205</v>
      </c>
      <c r="F201" s="104">
        <v>39448</v>
      </c>
      <c r="G201" s="16" t="s">
        <v>158</v>
      </c>
      <c r="H201" s="16" t="s">
        <v>161</v>
      </c>
      <c r="I201" s="16" t="s">
        <v>250</v>
      </c>
      <c r="J201" s="16" t="s">
        <v>31</v>
      </c>
      <c r="K201" s="16" t="s">
        <v>56</v>
      </c>
      <c r="L201" s="17">
        <v>1</v>
      </c>
      <c r="M201" s="17"/>
      <c r="N201" s="17"/>
      <c r="O201" s="17">
        <v>1</v>
      </c>
      <c r="P201" s="17"/>
      <c r="Q201" s="17">
        <v>1</v>
      </c>
      <c r="R201" s="17">
        <v>1</v>
      </c>
      <c r="S201" s="17">
        <v>1</v>
      </c>
      <c r="T201" s="19"/>
    </row>
    <row r="202" spans="1:20" ht="157.5">
      <c r="A202" s="19">
        <v>880</v>
      </c>
      <c r="B202" s="102">
        <v>30320000</v>
      </c>
      <c r="C202" s="41" t="s">
        <v>248</v>
      </c>
      <c r="D202" s="41" t="s">
        <v>249</v>
      </c>
      <c r="E202" s="103" t="s">
        <v>205</v>
      </c>
      <c r="F202" s="104">
        <v>39448</v>
      </c>
      <c r="G202" s="16" t="s">
        <v>158</v>
      </c>
      <c r="H202" s="16" t="s">
        <v>161</v>
      </c>
      <c r="I202" s="16" t="s">
        <v>250</v>
      </c>
      <c r="J202" s="16" t="s">
        <v>31</v>
      </c>
      <c r="K202" s="16" t="s">
        <v>59</v>
      </c>
      <c r="L202" s="17">
        <v>1.5</v>
      </c>
      <c r="M202" s="17">
        <v>1.2</v>
      </c>
      <c r="N202" s="17">
        <v>1.2</v>
      </c>
      <c r="O202" s="17">
        <v>1.5</v>
      </c>
      <c r="P202" s="17"/>
      <c r="Q202" s="17">
        <v>1.5</v>
      </c>
      <c r="R202" s="17">
        <v>1.5</v>
      </c>
      <c r="S202" s="17">
        <v>1.5</v>
      </c>
      <c r="T202" s="19">
        <v>300</v>
      </c>
    </row>
    <row r="203" spans="1:20" ht="157.5">
      <c r="A203" s="19">
        <v>880</v>
      </c>
      <c r="B203" s="102">
        <v>30320000</v>
      </c>
      <c r="C203" s="41" t="s">
        <v>248</v>
      </c>
      <c r="D203" s="41" t="s">
        <v>249</v>
      </c>
      <c r="E203" s="103" t="s">
        <v>205</v>
      </c>
      <c r="F203" s="104">
        <v>39448</v>
      </c>
      <c r="G203" s="16" t="s">
        <v>158</v>
      </c>
      <c r="H203" s="16" t="s">
        <v>161</v>
      </c>
      <c r="I203" s="16" t="s">
        <v>250</v>
      </c>
      <c r="J203" s="16" t="s">
        <v>31</v>
      </c>
      <c r="K203" s="16" t="s">
        <v>60</v>
      </c>
      <c r="L203" s="17">
        <v>532.4</v>
      </c>
      <c r="M203" s="17">
        <v>377.8</v>
      </c>
      <c r="N203" s="17">
        <v>377.8</v>
      </c>
      <c r="O203" s="17">
        <v>532.4</v>
      </c>
      <c r="P203" s="17">
        <v>150.9</v>
      </c>
      <c r="Q203" s="17">
        <v>532.4</v>
      </c>
      <c r="R203" s="17">
        <v>532.4</v>
      </c>
      <c r="S203" s="17">
        <v>532.4</v>
      </c>
      <c r="T203" s="19">
        <v>300</v>
      </c>
    </row>
    <row r="204" spans="1:20" ht="157.5">
      <c r="A204" s="19">
        <v>880</v>
      </c>
      <c r="B204" s="102">
        <v>30320000</v>
      </c>
      <c r="C204" s="41" t="s">
        <v>248</v>
      </c>
      <c r="D204" s="41" t="s">
        <v>249</v>
      </c>
      <c r="E204" s="103" t="s">
        <v>205</v>
      </c>
      <c r="F204" s="104">
        <v>39448</v>
      </c>
      <c r="G204" s="16" t="s">
        <v>158</v>
      </c>
      <c r="H204" s="16" t="s">
        <v>161</v>
      </c>
      <c r="I204" s="16" t="s">
        <v>250</v>
      </c>
      <c r="J204" s="16" t="s">
        <v>31</v>
      </c>
      <c r="K204" s="16" t="s">
        <v>101</v>
      </c>
      <c r="L204" s="17">
        <v>5</v>
      </c>
      <c r="M204" s="17">
        <v>3.8</v>
      </c>
      <c r="N204" s="17">
        <v>3.8</v>
      </c>
      <c r="O204" s="17">
        <v>5</v>
      </c>
      <c r="P204" s="17"/>
      <c r="Q204" s="17">
        <v>5</v>
      </c>
      <c r="R204" s="17">
        <v>5</v>
      </c>
      <c r="S204" s="17">
        <v>5</v>
      </c>
      <c r="T204" s="19">
        <v>300</v>
      </c>
    </row>
    <row r="205" spans="1:20" ht="157.5">
      <c r="A205" s="19">
        <v>880</v>
      </c>
      <c r="B205" s="102">
        <v>30320000</v>
      </c>
      <c r="C205" s="41" t="s">
        <v>248</v>
      </c>
      <c r="D205" s="41" t="s">
        <v>249</v>
      </c>
      <c r="E205" s="103" t="s">
        <v>205</v>
      </c>
      <c r="F205" s="104">
        <v>39448</v>
      </c>
      <c r="G205" s="16" t="s">
        <v>158</v>
      </c>
      <c r="H205" s="16" t="s">
        <v>161</v>
      </c>
      <c r="I205" s="16" t="s">
        <v>250</v>
      </c>
      <c r="J205" s="16" t="s">
        <v>31</v>
      </c>
      <c r="K205" s="16" t="s">
        <v>34</v>
      </c>
      <c r="L205" s="17">
        <v>48</v>
      </c>
      <c r="M205" s="17">
        <v>53.2</v>
      </c>
      <c r="N205" s="17">
        <v>53.2</v>
      </c>
      <c r="O205" s="17">
        <v>48</v>
      </c>
      <c r="P205" s="17">
        <v>2</v>
      </c>
      <c r="Q205" s="17">
        <v>49.2</v>
      </c>
      <c r="R205" s="17">
        <v>49.2</v>
      </c>
      <c r="S205" s="17">
        <v>49.2</v>
      </c>
      <c r="T205" s="19">
        <v>300</v>
      </c>
    </row>
    <row r="206" spans="1:20" ht="146.25">
      <c r="A206" s="19">
        <v>880</v>
      </c>
      <c r="B206" s="102">
        <v>30324000</v>
      </c>
      <c r="C206" s="41" t="s">
        <v>174</v>
      </c>
      <c r="D206" s="41" t="s">
        <v>251</v>
      </c>
      <c r="E206" s="103" t="s">
        <v>205</v>
      </c>
      <c r="F206" s="104">
        <v>40179</v>
      </c>
      <c r="G206" s="16" t="s">
        <v>157</v>
      </c>
      <c r="H206" s="16" t="s">
        <v>157</v>
      </c>
      <c r="I206" s="16" t="s">
        <v>131</v>
      </c>
      <c r="J206" s="16" t="s">
        <v>31</v>
      </c>
      <c r="K206" s="16" t="s">
        <v>137</v>
      </c>
      <c r="L206" s="17">
        <v>1861.2</v>
      </c>
      <c r="M206" s="17">
        <v>1387.7</v>
      </c>
      <c r="N206" s="17">
        <v>1387.7</v>
      </c>
      <c r="O206" s="17">
        <v>1861.2</v>
      </c>
      <c r="P206" s="17">
        <v>73.9</v>
      </c>
      <c r="Q206" s="17">
        <v>1861.2</v>
      </c>
      <c r="R206" s="17"/>
      <c r="S206" s="17"/>
      <c r="T206" s="19">
        <v>300</v>
      </c>
    </row>
    <row r="207" spans="1:20" ht="146.25">
      <c r="A207" s="19">
        <v>880</v>
      </c>
      <c r="B207" s="102">
        <v>30324000</v>
      </c>
      <c r="C207" s="41" t="s">
        <v>174</v>
      </c>
      <c r="D207" s="41" t="s">
        <v>251</v>
      </c>
      <c r="E207" s="103" t="s">
        <v>205</v>
      </c>
      <c r="F207" s="104">
        <v>40179</v>
      </c>
      <c r="G207" s="16" t="s">
        <v>157</v>
      </c>
      <c r="H207" s="16" t="s">
        <v>157</v>
      </c>
      <c r="I207" s="16" t="s">
        <v>129</v>
      </c>
      <c r="J207" s="16" t="s">
        <v>31</v>
      </c>
      <c r="K207" s="16" t="s">
        <v>137</v>
      </c>
      <c r="L207" s="17">
        <v>257.4</v>
      </c>
      <c r="M207" s="17">
        <v>77.7</v>
      </c>
      <c r="N207" s="17">
        <v>77.7</v>
      </c>
      <c r="O207" s="17">
        <v>257.4</v>
      </c>
      <c r="P207" s="17">
        <v>0</v>
      </c>
      <c r="Q207" s="17">
        <v>257.4</v>
      </c>
      <c r="R207" s="17">
        <v>257.4</v>
      </c>
      <c r="S207" s="17">
        <v>257.4</v>
      </c>
      <c r="T207" s="19">
        <v>300</v>
      </c>
    </row>
    <row r="208" spans="1:20" ht="56.25">
      <c r="A208" s="19">
        <v>880</v>
      </c>
      <c r="B208" s="102">
        <v>30402000</v>
      </c>
      <c r="C208" s="41" t="s">
        <v>252</v>
      </c>
      <c r="D208" s="41" t="s">
        <v>253</v>
      </c>
      <c r="E208" s="103" t="s">
        <v>205</v>
      </c>
      <c r="F208" s="104">
        <v>41275</v>
      </c>
      <c r="G208" s="16" t="s">
        <v>158</v>
      </c>
      <c r="H208" s="16" t="s">
        <v>153</v>
      </c>
      <c r="I208" s="16" t="s">
        <v>65</v>
      </c>
      <c r="J208" s="16" t="s">
        <v>63</v>
      </c>
      <c r="K208" s="16" t="s">
        <v>53</v>
      </c>
      <c r="L208" s="17">
        <v>180</v>
      </c>
      <c r="M208" s="17"/>
      <c r="N208" s="17"/>
      <c r="O208" s="17">
        <v>180</v>
      </c>
      <c r="P208" s="17"/>
      <c r="Q208" s="83"/>
      <c r="R208" s="83"/>
      <c r="S208" s="83"/>
      <c r="T208" s="19">
        <v>300</v>
      </c>
    </row>
    <row r="209" spans="1:20" ht="123.75">
      <c r="A209" s="19">
        <v>880</v>
      </c>
      <c r="B209" s="102">
        <v>30402000</v>
      </c>
      <c r="C209" s="41" t="s">
        <v>252</v>
      </c>
      <c r="D209" s="41" t="s">
        <v>254</v>
      </c>
      <c r="E209" s="103" t="s">
        <v>205</v>
      </c>
      <c r="F209" s="104">
        <v>40179</v>
      </c>
      <c r="G209" s="16" t="s">
        <v>158</v>
      </c>
      <c r="H209" s="16" t="s">
        <v>153</v>
      </c>
      <c r="I209" s="16" t="s">
        <v>255</v>
      </c>
      <c r="J209" s="16" t="s">
        <v>63</v>
      </c>
      <c r="K209" s="16" t="s">
        <v>55</v>
      </c>
      <c r="L209" s="17">
        <v>24</v>
      </c>
      <c r="M209" s="17">
        <v>27</v>
      </c>
      <c r="N209" s="17">
        <v>25.4</v>
      </c>
      <c r="O209" s="17">
        <v>24</v>
      </c>
      <c r="P209" s="17">
        <v>4.1</v>
      </c>
      <c r="Q209" s="17">
        <v>24</v>
      </c>
      <c r="R209" s="17">
        <v>24</v>
      </c>
      <c r="S209" s="17">
        <v>24</v>
      </c>
      <c r="T209" s="19">
        <v>300</v>
      </c>
    </row>
    <row r="210" spans="1:20" ht="123.75">
      <c r="A210" s="19">
        <v>880</v>
      </c>
      <c r="B210" s="102">
        <v>30402000</v>
      </c>
      <c r="C210" s="41" t="s">
        <v>252</v>
      </c>
      <c r="D210" s="41" t="s">
        <v>254</v>
      </c>
      <c r="E210" s="103" t="s">
        <v>205</v>
      </c>
      <c r="F210" s="104">
        <v>40179</v>
      </c>
      <c r="G210" s="16" t="s">
        <v>158</v>
      </c>
      <c r="H210" s="16" t="s">
        <v>153</v>
      </c>
      <c r="I210" s="16" t="s">
        <v>255</v>
      </c>
      <c r="J210" s="16" t="s">
        <v>63</v>
      </c>
      <c r="K210" s="16" t="s">
        <v>60</v>
      </c>
      <c r="L210" s="17"/>
      <c r="M210" s="17">
        <v>13.5</v>
      </c>
      <c r="N210" s="17">
        <v>13.5</v>
      </c>
      <c r="O210" s="17"/>
      <c r="P210" s="17"/>
      <c r="Q210" s="17"/>
      <c r="R210" s="17"/>
      <c r="S210" s="17"/>
      <c r="T210" s="19">
        <v>300</v>
      </c>
    </row>
    <row r="211" spans="1:20" ht="123.75">
      <c r="A211" s="19">
        <v>880</v>
      </c>
      <c r="B211" s="102">
        <v>30402000</v>
      </c>
      <c r="C211" s="41" t="s">
        <v>252</v>
      </c>
      <c r="D211" s="41" t="s">
        <v>254</v>
      </c>
      <c r="E211" s="103" t="s">
        <v>205</v>
      </c>
      <c r="F211" s="104">
        <v>40179</v>
      </c>
      <c r="G211" s="16" t="s">
        <v>158</v>
      </c>
      <c r="H211" s="16" t="s">
        <v>153</v>
      </c>
      <c r="I211" s="16" t="s">
        <v>255</v>
      </c>
      <c r="J211" s="16" t="s">
        <v>63</v>
      </c>
      <c r="K211" s="16" t="s">
        <v>137</v>
      </c>
      <c r="L211" s="17">
        <v>3676</v>
      </c>
      <c r="M211" s="17">
        <v>5741.9</v>
      </c>
      <c r="N211" s="17">
        <v>5610.1</v>
      </c>
      <c r="O211" s="17">
        <v>1544</v>
      </c>
      <c r="P211" s="17">
        <v>1118.3</v>
      </c>
      <c r="Q211" s="17">
        <v>1676</v>
      </c>
      <c r="R211" s="17">
        <v>1676</v>
      </c>
      <c r="S211" s="17">
        <v>1676</v>
      </c>
      <c r="T211" s="19">
        <v>300</v>
      </c>
    </row>
    <row r="212" spans="1:20" ht="11.25">
      <c r="A212" s="93" t="s">
        <v>256</v>
      </c>
      <c r="B212" s="10"/>
      <c r="C212" s="10"/>
      <c r="D212" s="10"/>
      <c r="E212" s="10"/>
      <c r="F212" s="10"/>
      <c r="G212" s="10"/>
      <c r="H212" s="10"/>
      <c r="I212" s="10"/>
      <c r="J212" s="10"/>
      <c r="K212" s="10"/>
      <c r="L212" s="50">
        <f>SUM(L138:L211)</f>
        <v>133464.19999999995</v>
      </c>
      <c r="M212" s="50">
        <f aca="true" t="shared" si="8" ref="M212:S212">SUM(M138:M211)</f>
        <v>129087.9</v>
      </c>
      <c r="N212" s="50">
        <f t="shared" si="8"/>
        <v>126380.29999999999</v>
      </c>
      <c r="O212" s="50">
        <f t="shared" si="8"/>
        <v>131332.99999999997</v>
      </c>
      <c r="P212" s="50">
        <f t="shared" si="8"/>
        <v>28693.340000000007</v>
      </c>
      <c r="Q212" s="50">
        <f t="shared" si="8"/>
        <v>114466.69999999995</v>
      </c>
      <c r="R212" s="50">
        <f t="shared" si="8"/>
        <v>113723.09999999996</v>
      </c>
      <c r="S212" s="50">
        <f t="shared" si="8"/>
        <v>113329.39999999997</v>
      </c>
      <c r="T212" s="10"/>
    </row>
    <row r="213" spans="1:20" s="53" customFormat="1" ht="33.75">
      <c r="A213" s="21">
        <v>801</v>
      </c>
      <c r="B213" s="22">
        <v>30101000</v>
      </c>
      <c r="C213" s="29" t="s">
        <v>28</v>
      </c>
      <c r="D213" s="30" t="s">
        <v>257</v>
      </c>
      <c r="E213" s="21"/>
      <c r="F213" s="24">
        <v>38718</v>
      </c>
      <c r="G213" s="25" t="s">
        <v>149</v>
      </c>
      <c r="H213" s="25" t="s">
        <v>156</v>
      </c>
      <c r="I213" s="25" t="s">
        <v>258</v>
      </c>
      <c r="J213" s="25" t="s">
        <v>31</v>
      </c>
      <c r="K213" s="25" t="s">
        <v>52</v>
      </c>
      <c r="L213" s="26">
        <f>O213</f>
        <v>1911.1000000000001</v>
      </c>
      <c r="M213" s="26">
        <v>1844.1000000000001</v>
      </c>
      <c r="N213" s="26">
        <v>1757.3400000000001</v>
      </c>
      <c r="O213" s="26">
        <v>1911.1000000000001</v>
      </c>
      <c r="P213" s="26">
        <v>415.53000000000003</v>
      </c>
      <c r="Q213" s="26">
        <v>1911.1000000000001</v>
      </c>
      <c r="R213" s="26">
        <v>1911.1000000000001</v>
      </c>
      <c r="S213" s="26">
        <f aca="true" t="shared" si="9" ref="S213:S268">R213</f>
        <v>1911.1000000000001</v>
      </c>
      <c r="T213" s="27">
        <v>300</v>
      </c>
    </row>
    <row r="214" spans="1:20" s="53" customFormat="1" ht="67.5">
      <c r="A214" s="21">
        <v>801</v>
      </c>
      <c r="B214" s="22">
        <v>30101000</v>
      </c>
      <c r="C214" s="29" t="s">
        <v>28</v>
      </c>
      <c r="D214" s="30" t="s">
        <v>259</v>
      </c>
      <c r="E214" s="21"/>
      <c r="F214" s="24">
        <v>39479</v>
      </c>
      <c r="G214" s="25" t="s">
        <v>149</v>
      </c>
      <c r="H214" s="25" t="s">
        <v>156</v>
      </c>
      <c r="I214" s="25" t="s">
        <v>258</v>
      </c>
      <c r="J214" s="25" t="s">
        <v>31</v>
      </c>
      <c r="K214" s="25" t="s">
        <v>53</v>
      </c>
      <c r="L214" s="26">
        <f aca="true" t="shared" si="10" ref="L214:L252">O214</f>
        <v>35</v>
      </c>
      <c r="M214" s="26">
        <v>35</v>
      </c>
      <c r="N214" s="26">
        <v>0</v>
      </c>
      <c r="O214" s="26">
        <v>35</v>
      </c>
      <c r="P214" s="26">
        <v>0</v>
      </c>
      <c r="Q214" s="26">
        <v>35</v>
      </c>
      <c r="R214" s="26">
        <v>35</v>
      </c>
      <c r="S214" s="26">
        <f t="shared" si="9"/>
        <v>35</v>
      </c>
      <c r="T214" s="27">
        <v>300</v>
      </c>
    </row>
    <row r="215" spans="1:20" s="53" customFormat="1" ht="45" customHeight="1">
      <c r="A215" s="21">
        <v>801</v>
      </c>
      <c r="B215" s="22">
        <v>30101000</v>
      </c>
      <c r="C215" s="29" t="s">
        <v>28</v>
      </c>
      <c r="D215" s="127" t="s">
        <v>260</v>
      </c>
      <c r="E215" s="21"/>
      <c r="F215" s="24">
        <v>39448</v>
      </c>
      <c r="G215" s="25" t="s">
        <v>149</v>
      </c>
      <c r="H215" s="25" t="s">
        <v>156</v>
      </c>
      <c r="I215" s="25" t="s">
        <v>258</v>
      </c>
      <c r="J215" s="25" t="s">
        <v>31</v>
      </c>
      <c r="K215" s="25" t="s">
        <v>54</v>
      </c>
      <c r="L215" s="26">
        <f t="shared" si="10"/>
        <v>297.40000000000003</v>
      </c>
      <c r="M215" s="26">
        <v>282.2</v>
      </c>
      <c r="N215" s="26">
        <v>266.42</v>
      </c>
      <c r="O215" s="26">
        <v>297.40000000000003</v>
      </c>
      <c r="P215" s="26">
        <v>108.55</v>
      </c>
      <c r="Q215" s="26">
        <v>297.40000000000003</v>
      </c>
      <c r="R215" s="26">
        <v>297.40000000000003</v>
      </c>
      <c r="S215" s="26">
        <f t="shared" si="9"/>
        <v>297.40000000000003</v>
      </c>
      <c r="T215" s="27">
        <v>300</v>
      </c>
    </row>
    <row r="216" spans="1:20" s="53" customFormat="1" ht="22.5">
      <c r="A216" s="21">
        <v>801</v>
      </c>
      <c r="B216" s="22">
        <v>30101000</v>
      </c>
      <c r="C216" s="29" t="s">
        <v>28</v>
      </c>
      <c r="D216" s="128"/>
      <c r="E216" s="21"/>
      <c r="F216" s="24"/>
      <c r="G216" s="25" t="s">
        <v>149</v>
      </c>
      <c r="H216" s="25" t="s">
        <v>156</v>
      </c>
      <c r="I216" s="25" t="s">
        <v>258</v>
      </c>
      <c r="J216" s="25" t="s">
        <v>31</v>
      </c>
      <c r="K216" s="25" t="s">
        <v>137</v>
      </c>
      <c r="L216" s="26">
        <f t="shared" si="10"/>
        <v>1911.1000000000001</v>
      </c>
      <c r="M216" s="26">
        <v>0</v>
      </c>
      <c r="N216" s="26">
        <v>0</v>
      </c>
      <c r="O216" s="26">
        <v>1911.1000000000001</v>
      </c>
      <c r="P216" s="26">
        <v>0</v>
      </c>
      <c r="Q216" s="26">
        <v>0</v>
      </c>
      <c r="R216" s="26">
        <v>0</v>
      </c>
      <c r="S216" s="26">
        <f t="shared" si="9"/>
        <v>0</v>
      </c>
      <c r="T216" s="27">
        <v>300</v>
      </c>
    </row>
    <row r="217" spans="1:20" s="53" customFormat="1" ht="33.75">
      <c r="A217" s="21">
        <v>801</v>
      </c>
      <c r="B217" s="22">
        <v>30101000</v>
      </c>
      <c r="C217" s="29" t="s">
        <v>28</v>
      </c>
      <c r="D217" s="30" t="s">
        <v>261</v>
      </c>
      <c r="E217" s="21"/>
      <c r="F217" s="24">
        <v>38718</v>
      </c>
      <c r="G217" s="25" t="s">
        <v>149</v>
      </c>
      <c r="H217" s="25" t="s">
        <v>155</v>
      </c>
      <c r="I217" s="25" t="s">
        <v>51</v>
      </c>
      <c r="J217" s="25" t="s">
        <v>31</v>
      </c>
      <c r="K217" s="25" t="s">
        <v>52</v>
      </c>
      <c r="L217" s="26">
        <f t="shared" si="10"/>
        <v>26272.89</v>
      </c>
      <c r="M217" s="26">
        <v>20756.24</v>
      </c>
      <c r="N217" s="26">
        <v>19538.03</v>
      </c>
      <c r="O217" s="26">
        <v>26272.89</v>
      </c>
      <c r="P217" s="26">
        <v>5462.99</v>
      </c>
      <c r="Q217" s="26">
        <v>25305.7</v>
      </c>
      <c r="R217" s="26">
        <v>25305.7</v>
      </c>
      <c r="S217" s="26">
        <f t="shared" si="9"/>
        <v>25305.7</v>
      </c>
      <c r="T217" s="27">
        <v>300</v>
      </c>
    </row>
    <row r="218" spans="1:20" s="53" customFormat="1" ht="45">
      <c r="A218" s="21">
        <v>801</v>
      </c>
      <c r="B218" s="22">
        <v>30101000</v>
      </c>
      <c r="C218" s="29" t="s">
        <v>28</v>
      </c>
      <c r="D218" s="30" t="s">
        <v>262</v>
      </c>
      <c r="E218" s="21"/>
      <c r="F218" s="24">
        <v>38558</v>
      </c>
      <c r="G218" s="25" t="s">
        <v>149</v>
      </c>
      <c r="H218" s="25" t="s">
        <v>155</v>
      </c>
      <c r="I218" s="25" t="s">
        <v>51</v>
      </c>
      <c r="J218" s="25" t="s">
        <v>31</v>
      </c>
      <c r="K218" s="25" t="s">
        <v>53</v>
      </c>
      <c r="L218" s="26">
        <f t="shared" si="10"/>
        <v>80.08</v>
      </c>
      <c r="M218" s="26">
        <v>47.82</v>
      </c>
      <c r="N218" s="26">
        <v>29.89</v>
      </c>
      <c r="O218" s="26">
        <v>80.08</v>
      </c>
      <c r="P218" s="26">
        <v>21.3</v>
      </c>
      <c r="Q218" s="26">
        <v>68</v>
      </c>
      <c r="R218" s="26">
        <v>68</v>
      </c>
      <c r="S218" s="26">
        <f t="shared" si="9"/>
        <v>68</v>
      </c>
      <c r="T218" s="27">
        <v>300</v>
      </c>
    </row>
    <row r="219" spans="1:20" s="53" customFormat="1" ht="56.25">
      <c r="A219" s="21">
        <v>801</v>
      </c>
      <c r="B219" s="22">
        <v>30101000</v>
      </c>
      <c r="C219" s="29" t="s">
        <v>28</v>
      </c>
      <c r="D219" s="30" t="s">
        <v>263</v>
      </c>
      <c r="E219" s="21"/>
      <c r="F219" s="24">
        <v>39479</v>
      </c>
      <c r="G219" s="25" t="s">
        <v>149</v>
      </c>
      <c r="H219" s="25" t="s">
        <v>155</v>
      </c>
      <c r="I219" s="25" t="s">
        <v>51</v>
      </c>
      <c r="J219" s="25" t="s">
        <v>31</v>
      </c>
      <c r="K219" s="25" t="s">
        <v>54</v>
      </c>
      <c r="L219" s="26">
        <f t="shared" si="10"/>
        <v>7922.91</v>
      </c>
      <c r="M219" s="26">
        <v>5920.1</v>
      </c>
      <c r="N219" s="26">
        <v>5184.29</v>
      </c>
      <c r="O219" s="26">
        <v>7922.91</v>
      </c>
      <c r="P219" s="26">
        <v>1749.29</v>
      </c>
      <c r="Q219" s="26">
        <v>7641.400000000001</v>
      </c>
      <c r="R219" s="26">
        <v>7641.400000000001</v>
      </c>
      <c r="S219" s="26">
        <f t="shared" si="9"/>
        <v>7641.400000000001</v>
      </c>
      <c r="T219" s="27">
        <v>300</v>
      </c>
    </row>
    <row r="220" spans="1:20" s="53" customFormat="1" ht="56.25">
      <c r="A220" s="21">
        <v>801</v>
      </c>
      <c r="B220" s="22">
        <v>30101000</v>
      </c>
      <c r="C220" s="29" t="s">
        <v>28</v>
      </c>
      <c r="D220" s="30" t="s">
        <v>264</v>
      </c>
      <c r="E220" s="21"/>
      <c r="F220" s="24">
        <v>38986</v>
      </c>
      <c r="G220" s="25" t="s">
        <v>149</v>
      </c>
      <c r="H220" s="25" t="s">
        <v>155</v>
      </c>
      <c r="I220" s="25" t="s">
        <v>51</v>
      </c>
      <c r="J220" s="25" t="s">
        <v>31</v>
      </c>
      <c r="K220" s="25" t="s">
        <v>55</v>
      </c>
      <c r="L220" s="26">
        <f t="shared" si="10"/>
        <v>860.45</v>
      </c>
      <c r="M220" s="26">
        <v>743.12</v>
      </c>
      <c r="N220" s="26">
        <v>735.73</v>
      </c>
      <c r="O220" s="26">
        <v>860.45</v>
      </c>
      <c r="P220" s="26">
        <v>156.03</v>
      </c>
      <c r="Q220" s="26">
        <v>813.8000000000001</v>
      </c>
      <c r="R220" s="26">
        <v>813.8000000000001</v>
      </c>
      <c r="S220" s="26">
        <f t="shared" si="9"/>
        <v>813.8000000000001</v>
      </c>
      <c r="T220" s="27">
        <v>300</v>
      </c>
    </row>
    <row r="221" spans="1:20" s="53" customFormat="1" ht="56.25">
      <c r="A221" s="21">
        <v>801</v>
      </c>
      <c r="B221" s="22">
        <v>30101000</v>
      </c>
      <c r="C221" s="29" t="s">
        <v>28</v>
      </c>
      <c r="D221" s="30" t="s">
        <v>265</v>
      </c>
      <c r="E221" s="21"/>
      <c r="F221" s="24">
        <v>39266</v>
      </c>
      <c r="G221" s="25" t="s">
        <v>149</v>
      </c>
      <c r="H221" s="25" t="s">
        <v>155</v>
      </c>
      <c r="I221" s="25" t="s">
        <v>51</v>
      </c>
      <c r="J221" s="25" t="s">
        <v>31</v>
      </c>
      <c r="K221" s="25" t="s">
        <v>56</v>
      </c>
      <c r="L221" s="26">
        <f t="shared" si="10"/>
        <v>55.5</v>
      </c>
      <c r="M221" s="26">
        <v>59</v>
      </c>
      <c r="N221" s="26">
        <v>37.410000000000004</v>
      </c>
      <c r="O221" s="26">
        <v>55.5</v>
      </c>
      <c r="P221" s="26">
        <v>4.8500000000000005</v>
      </c>
      <c r="Q221" s="26">
        <v>55</v>
      </c>
      <c r="R221" s="26">
        <v>55</v>
      </c>
      <c r="S221" s="26">
        <f t="shared" si="9"/>
        <v>55</v>
      </c>
      <c r="T221" s="27">
        <v>300</v>
      </c>
    </row>
    <row r="222" spans="1:20" s="53" customFormat="1" ht="22.5">
      <c r="A222" s="21">
        <v>801</v>
      </c>
      <c r="B222" s="22">
        <v>30101000</v>
      </c>
      <c r="C222" s="29" t="s">
        <v>28</v>
      </c>
      <c r="D222" s="30"/>
      <c r="E222" s="21"/>
      <c r="F222" s="24"/>
      <c r="G222" s="25" t="s">
        <v>149</v>
      </c>
      <c r="H222" s="25" t="s">
        <v>155</v>
      </c>
      <c r="I222" s="25" t="s">
        <v>51</v>
      </c>
      <c r="J222" s="25" t="s">
        <v>31</v>
      </c>
      <c r="K222" s="25" t="s">
        <v>57</v>
      </c>
      <c r="L222" s="26">
        <f t="shared" si="10"/>
        <v>2041</v>
      </c>
      <c r="M222" s="26">
        <v>2046.8300000000002</v>
      </c>
      <c r="N222" s="26">
        <v>1698.72</v>
      </c>
      <c r="O222" s="26">
        <v>2041</v>
      </c>
      <c r="P222" s="26">
        <v>639.5</v>
      </c>
      <c r="Q222" s="26">
        <v>2041</v>
      </c>
      <c r="R222" s="26">
        <v>2041</v>
      </c>
      <c r="S222" s="26">
        <f t="shared" si="9"/>
        <v>2041</v>
      </c>
      <c r="T222" s="27">
        <v>300</v>
      </c>
    </row>
    <row r="223" spans="1:20" s="53" customFormat="1" ht="22.5">
      <c r="A223" s="21">
        <v>801</v>
      </c>
      <c r="B223" s="22">
        <v>30101000</v>
      </c>
      <c r="C223" s="29" t="s">
        <v>28</v>
      </c>
      <c r="D223" s="30"/>
      <c r="E223" s="21"/>
      <c r="F223" s="24"/>
      <c r="G223" s="25" t="s">
        <v>149</v>
      </c>
      <c r="H223" s="25" t="s">
        <v>155</v>
      </c>
      <c r="I223" s="25" t="s">
        <v>51</v>
      </c>
      <c r="J223" s="25" t="s">
        <v>31</v>
      </c>
      <c r="K223" s="25" t="s">
        <v>59</v>
      </c>
      <c r="L223" s="26">
        <f t="shared" si="10"/>
        <v>1934.22</v>
      </c>
      <c r="M223" s="26">
        <v>1790.8</v>
      </c>
      <c r="N223" s="26">
        <v>1666.55</v>
      </c>
      <c r="O223" s="26">
        <v>1934.22</v>
      </c>
      <c r="P223" s="26">
        <v>293.88</v>
      </c>
      <c r="Q223" s="26">
        <v>1572.8</v>
      </c>
      <c r="R223" s="26">
        <v>1872.8</v>
      </c>
      <c r="S223" s="26">
        <f t="shared" si="9"/>
        <v>1872.8</v>
      </c>
      <c r="T223" s="27">
        <v>300</v>
      </c>
    </row>
    <row r="224" spans="1:20" s="53" customFormat="1" ht="22.5">
      <c r="A224" s="21">
        <v>801</v>
      </c>
      <c r="B224" s="22">
        <v>30101000</v>
      </c>
      <c r="C224" s="29" t="s">
        <v>28</v>
      </c>
      <c r="D224" s="30"/>
      <c r="E224" s="21"/>
      <c r="F224" s="24"/>
      <c r="G224" s="25" t="s">
        <v>149</v>
      </c>
      <c r="H224" s="25" t="s">
        <v>155</v>
      </c>
      <c r="I224" s="25" t="s">
        <v>51</v>
      </c>
      <c r="J224" s="25" t="s">
        <v>31</v>
      </c>
      <c r="K224" s="25" t="s">
        <v>60</v>
      </c>
      <c r="L224" s="26">
        <f t="shared" si="10"/>
        <v>1279.43</v>
      </c>
      <c r="M224" s="26">
        <v>1128.41</v>
      </c>
      <c r="N224" s="26">
        <v>998.28</v>
      </c>
      <c r="O224" s="26">
        <v>1279.43</v>
      </c>
      <c r="P224" s="26">
        <v>132.94</v>
      </c>
      <c r="Q224" s="26">
        <v>1262</v>
      </c>
      <c r="R224" s="26">
        <v>1862</v>
      </c>
      <c r="S224" s="26">
        <f t="shared" si="9"/>
        <v>1862</v>
      </c>
      <c r="T224" s="27">
        <v>300</v>
      </c>
    </row>
    <row r="225" spans="1:20" s="53" customFormat="1" ht="22.5">
      <c r="A225" s="21">
        <v>801</v>
      </c>
      <c r="B225" s="22">
        <v>30101000</v>
      </c>
      <c r="C225" s="29" t="s">
        <v>28</v>
      </c>
      <c r="D225" s="30"/>
      <c r="E225" s="21"/>
      <c r="F225" s="24"/>
      <c r="G225" s="25" t="s">
        <v>149</v>
      </c>
      <c r="H225" s="25" t="s">
        <v>155</v>
      </c>
      <c r="I225" s="25" t="s">
        <v>51</v>
      </c>
      <c r="J225" s="25" t="s">
        <v>31</v>
      </c>
      <c r="K225" s="25" t="s">
        <v>32</v>
      </c>
      <c r="L225" s="26">
        <f t="shared" si="10"/>
        <v>2250.2200000000003</v>
      </c>
      <c r="M225" s="26">
        <v>1024.4</v>
      </c>
      <c r="N225" s="26">
        <v>813.66</v>
      </c>
      <c r="O225" s="26">
        <v>2250.2200000000003</v>
      </c>
      <c r="P225" s="26">
        <v>1287.34</v>
      </c>
      <c r="Q225" s="26">
        <v>1097.5</v>
      </c>
      <c r="R225" s="26">
        <v>1125.5</v>
      </c>
      <c r="S225" s="26">
        <f t="shared" si="9"/>
        <v>1125.5</v>
      </c>
      <c r="T225" s="27">
        <v>300</v>
      </c>
    </row>
    <row r="226" spans="1:20" s="53" customFormat="1" ht="22.5">
      <c r="A226" s="21">
        <v>801</v>
      </c>
      <c r="B226" s="22">
        <v>30101000</v>
      </c>
      <c r="C226" s="29" t="s">
        <v>28</v>
      </c>
      <c r="D226" s="30"/>
      <c r="E226" s="21"/>
      <c r="F226" s="24"/>
      <c r="G226" s="25" t="s">
        <v>149</v>
      </c>
      <c r="H226" s="25" t="s">
        <v>155</v>
      </c>
      <c r="I226" s="25" t="s">
        <v>51</v>
      </c>
      <c r="J226" s="25" t="s">
        <v>31</v>
      </c>
      <c r="K226" s="25" t="s">
        <v>101</v>
      </c>
      <c r="L226" s="26">
        <f t="shared" si="10"/>
        <v>283.08</v>
      </c>
      <c r="M226" s="26">
        <v>398.36</v>
      </c>
      <c r="N226" s="26">
        <v>398.33</v>
      </c>
      <c r="O226" s="26">
        <v>283.08</v>
      </c>
      <c r="P226" s="26">
        <v>56.06</v>
      </c>
      <c r="Q226" s="26">
        <v>0</v>
      </c>
      <c r="R226" s="26">
        <v>241.9</v>
      </c>
      <c r="S226" s="26">
        <f t="shared" si="9"/>
        <v>241.9</v>
      </c>
      <c r="T226" s="27">
        <v>300</v>
      </c>
    </row>
    <row r="227" spans="1:20" s="53" customFormat="1" ht="22.5">
      <c r="A227" s="21">
        <v>801</v>
      </c>
      <c r="B227" s="22">
        <v>30101000</v>
      </c>
      <c r="C227" s="29" t="s">
        <v>28</v>
      </c>
      <c r="D227" s="30"/>
      <c r="E227" s="21"/>
      <c r="F227" s="24"/>
      <c r="G227" s="25" t="s">
        <v>149</v>
      </c>
      <c r="H227" s="25" t="s">
        <v>155</v>
      </c>
      <c r="I227" s="25" t="s">
        <v>51</v>
      </c>
      <c r="J227" s="25" t="s">
        <v>31</v>
      </c>
      <c r="K227" s="25" t="s">
        <v>34</v>
      </c>
      <c r="L227" s="26">
        <f t="shared" si="10"/>
        <v>2228.86</v>
      </c>
      <c r="M227" s="26">
        <v>2264.11</v>
      </c>
      <c r="N227" s="26">
        <v>2141.65</v>
      </c>
      <c r="O227" s="26">
        <v>2228.86</v>
      </c>
      <c r="P227" s="26">
        <v>288.52</v>
      </c>
      <c r="Q227" s="26">
        <v>2221</v>
      </c>
      <c r="R227" s="26">
        <v>2722</v>
      </c>
      <c r="S227" s="26">
        <f t="shared" si="9"/>
        <v>2722</v>
      </c>
      <c r="T227" s="27">
        <v>300</v>
      </c>
    </row>
    <row r="228" spans="1:20" s="53" customFormat="1" ht="67.5">
      <c r="A228" s="21">
        <v>801</v>
      </c>
      <c r="B228" s="22">
        <v>30101000</v>
      </c>
      <c r="C228" s="29" t="s">
        <v>28</v>
      </c>
      <c r="D228" s="30" t="s">
        <v>266</v>
      </c>
      <c r="E228" s="21"/>
      <c r="F228" s="24">
        <v>39407</v>
      </c>
      <c r="G228" s="25" t="s">
        <v>149</v>
      </c>
      <c r="H228" s="25" t="s">
        <v>155</v>
      </c>
      <c r="I228" s="25" t="s">
        <v>97</v>
      </c>
      <c r="J228" s="25" t="s">
        <v>267</v>
      </c>
      <c r="K228" s="25" t="s">
        <v>60</v>
      </c>
      <c r="L228" s="26">
        <f t="shared" si="10"/>
        <v>0</v>
      </c>
      <c r="M228" s="26">
        <v>20</v>
      </c>
      <c r="N228" s="26">
        <v>20</v>
      </c>
      <c r="O228" s="26">
        <v>0</v>
      </c>
      <c r="P228" s="26">
        <v>0</v>
      </c>
      <c r="Q228" s="26">
        <v>0</v>
      </c>
      <c r="R228" s="26">
        <v>0</v>
      </c>
      <c r="S228" s="26">
        <f t="shared" si="9"/>
        <v>0</v>
      </c>
      <c r="T228" s="27">
        <v>300</v>
      </c>
    </row>
    <row r="229" spans="1:20" s="53" customFormat="1" ht="22.5">
      <c r="A229" s="21">
        <v>801</v>
      </c>
      <c r="B229" s="22">
        <v>30101000</v>
      </c>
      <c r="C229" s="29" t="s">
        <v>28</v>
      </c>
      <c r="D229" s="30"/>
      <c r="E229" s="21"/>
      <c r="F229" s="24"/>
      <c r="G229" s="25" t="s">
        <v>149</v>
      </c>
      <c r="H229" s="25" t="s">
        <v>155</v>
      </c>
      <c r="I229" s="25" t="s">
        <v>97</v>
      </c>
      <c r="J229" s="25" t="s">
        <v>267</v>
      </c>
      <c r="K229" s="25" t="s">
        <v>32</v>
      </c>
      <c r="L229" s="26">
        <f t="shared" si="10"/>
        <v>1.8</v>
      </c>
      <c r="M229" s="26">
        <v>29.26</v>
      </c>
      <c r="N229" s="26">
        <v>29.26</v>
      </c>
      <c r="O229" s="26">
        <v>1.8</v>
      </c>
      <c r="P229" s="26">
        <v>1.8</v>
      </c>
      <c r="Q229" s="26">
        <v>0</v>
      </c>
      <c r="R229" s="26">
        <v>0</v>
      </c>
      <c r="S229" s="26">
        <f t="shared" si="9"/>
        <v>0</v>
      </c>
      <c r="T229" s="27">
        <v>300</v>
      </c>
    </row>
    <row r="230" spans="1:20" s="53" customFormat="1" ht="123.75">
      <c r="A230" s="21">
        <v>801</v>
      </c>
      <c r="B230" s="22">
        <v>30101000</v>
      </c>
      <c r="C230" s="33" t="s">
        <v>28</v>
      </c>
      <c r="D230" s="34" t="s">
        <v>333</v>
      </c>
      <c r="E230" s="21"/>
      <c r="F230" s="31" t="s">
        <v>334</v>
      </c>
      <c r="G230" s="25" t="s">
        <v>149</v>
      </c>
      <c r="H230" s="25" t="s">
        <v>155</v>
      </c>
      <c r="I230" s="25" t="s">
        <v>335</v>
      </c>
      <c r="J230" s="25" t="s">
        <v>63</v>
      </c>
      <c r="K230" s="25" t="s">
        <v>32</v>
      </c>
      <c r="L230" s="26">
        <f t="shared" si="10"/>
        <v>55</v>
      </c>
      <c r="M230" s="26">
        <v>50</v>
      </c>
      <c r="N230" s="26">
        <v>50</v>
      </c>
      <c r="O230" s="26">
        <v>55</v>
      </c>
      <c r="P230" s="26">
        <v>0</v>
      </c>
      <c r="Q230" s="26">
        <v>55</v>
      </c>
      <c r="R230" s="26">
        <v>55</v>
      </c>
      <c r="S230" s="26">
        <f t="shared" si="9"/>
        <v>55</v>
      </c>
      <c r="T230" s="27">
        <v>300</v>
      </c>
    </row>
    <row r="231" spans="1:20" s="53" customFormat="1" ht="67.5">
      <c r="A231" s="21">
        <v>801</v>
      </c>
      <c r="B231" s="22">
        <v>30101000</v>
      </c>
      <c r="C231" s="29" t="s">
        <v>28</v>
      </c>
      <c r="D231" s="30" t="s">
        <v>266</v>
      </c>
      <c r="E231" s="21"/>
      <c r="F231" s="24">
        <v>39407</v>
      </c>
      <c r="G231" s="25" t="s">
        <v>149</v>
      </c>
      <c r="H231" s="25" t="s">
        <v>316</v>
      </c>
      <c r="I231" s="25" t="s">
        <v>97</v>
      </c>
      <c r="J231" s="25" t="s">
        <v>267</v>
      </c>
      <c r="K231" s="25" t="s">
        <v>32</v>
      </c>
      <c r="L231" s="26">
        <f t="shared" si="10"/>
        <v>448.2</v>
      </c>
      <c r="M231" s="26">
        <v>365.391</v>
      </c>
      <c r="N231" s="26">
        <v>0</v>
      </c>
      <c r="O231" s="26">
        <v>448.2</v>
      </c>
      <c r="P231" s="26">
        <v>0</v>
      </c>
      <c r="Q231" s="26">
        <v>450</v>
      </c>
      <c r="R231" s="26">
        <v>450</v>
      </c>
      <c r="S231" s="26">
        <f t="shared" si="9"/>
        <v>450</v>
      </c>
      <c r="T231" s="27">
        <v>300</v>
      </c>
    </row>
    <row r="232" spans="1:20" s="53" customFormat="1" ht="22.5">
      <c r="A232" s="21">
        <v>801</v>
      </c>
      <c r="B232" s="22">
        <v>30101000</v>
      </c>
      <c r="C232" s="29" t="s">
        <v>28</v>
      </c>
      <c r="D232" s="23"/>
      <c r="E232" s="21"/>
      <c r="F232" s="24"/>
      <c r="G232" s="25" t="s">
        <v>149</v>
      </c>
      <c r="H232" s="25" t="s">
        <v>150</v>
      </c>
      <c r="I232" s="25" t="s">
        <v>30</v>
      </c>
      <c r="J232" s="25" t="s">
        <v>31</v>
      </c>
      <c r="K232" s="25" t="s">
        <v>60</v>
      </c>
      <c r="L232" s="26">
        <f t="shared" si="10"/>
        <v>0</v>
      </c>
      <c r="M232" s="26">
        <v>38</v>
      </c>
      <c r="N232" s="26">
        <v>38</v>
      </c>
      <c r="O232" s="26">
        <v>0</v>
      </c>
      <c r="P232" s="26">
        <v>0</v>
      </c>
      <c r="Q232" s="26">
        <v>0</v>
      </c>
      <c r="R232" s="26">
        <v>0</v>
      </c>
      <c r="S232" s="26">
        <f t="shared" si="9"/>
        <v>0</v>
      </c>
      <c r="T232" s="27">
        <v>300</v>
      </c>
    </row>
    <row r="233" spans="1:20" s="53" customFormat="1" ht="22.5">
      <c r="A233" s="21">
        <v>801</v>
      </c>
      <c r="B233" s="22">
        <v>30101000</v>
      </c>
      <c r="C233" s="29" t="s">
        <v>28</v>
      </c>
      <c r="D233" s="23"/>
      <c r="E233" s="21"/>
      <c r="F233" s="24"/>
      <c r="G233" s="25" t="s">
        <v>149</v>
      </c>
      <c r="H233" s="25" t="s">
        <v>150</v>
      </c>
      <c r="I233" s="25" t="s">
        <v>30</v>
      </c>
      <c r="J233" s="25" t="s">
        <v>31</v>
      </c>
      <c r="K233" s="25" t="s">
        <v>32</v>
      </c>
      <c r="L233" s="26">
        <f t="shared" si="10"/>
        <v>160</v>
      </c>
      <c r="M233" s="26">
        <v>42</v>
      </c>
      <c r="N233" s="26">
        <v>42</v>
      </c>
      <c r="O233" s="26">
        <v>160</v>
      </c>
      <c r="P233" s="26">
        <v>0</v>
      </c>
      <c r="Q233" s="26">
        <v>160</v>
      </c>
      <c r="R233" s="26">
        <v>160</v>
      </c>
      <c r="S233" s="26">
        <f t="shared" si="9"/>
        <v>160</v>
      </c>
      <c r="T233" s="27">
        <v>300</v>
      </c>
    </row>
    <row r="234" spans="1:20" s="53" customFormat="1" ht="90">
      <c r="A234" s="21">
        <v>801</v>
      </c>
      <c r="B234" s="22">
        <v>30101000</v>
      </c>
      <c r="C234" s="29" t="s">
        <v>28</v>
      </c>
      <c r="D234" s="30" t="s">
        <v>268</v>
      </c>
      <c r="E234" s="21"/>
      <c r="F234" s="24">
        <v>40909</v>
      </c>
      <c r="G234" s="25" t="s">
        <v>149</v>
      </c>
      <c r="H234" s="25" t="s">
        <v>150</v>
      </c>
      <c r="I234" s="25" t="s">
        <v>37</v>
      </c>
      <c r="J234" s="25" t="s">
        <v>31</v>
      </c>
      <c r="K234" s="25" t="s">
        <v>54</v>
      </c>
      <c r="L234" s="26">
        <f t="shared" si="10"/>
        <v>0</v>
      </c>
      <c r="M234" s="26">
        <v>0.02</v>
      </c>
      <c r="N234" s="26">
        <v>0</v>
      </c>
      <c r="O234" s="26">
        <v>0</v>
      </c>
      <c r="P234" s="26">
        <v>0</v>
      </c>
      <c r="Q234" s="26">
        <v>0</v>
      </c>
      <c r="R234" s="26">
        <v>0</v>
      </c>
      <c r="S234" s="26">
        <f t="shared" si="9"/>
        <v>0</v>
      </c>
      <c r="T234" s="27">
        <v>300</v>
      </c>
    </row>
    <row r="235" spans="1:20" s="53" customFormat="1" ht="22.5">
      <c r="A235" s="21">
        <v>801</v>
      </c>
      <c r="B235" s="22">
        <v>30101000</v>
      </c>
      <c r="C235" s="29" t="s">
        <v>28</v>
      </c>
      <c r="D235" s="30"/>
      <c r="E235" s="21"/>
      <c r="F235" s="24"/>
      <c r="G235" s="25" t="s">
        <v>149</v>
      </c>
      <c r="H235" s="25" t="s">
        <v>150</v>
      </c>
      <c r="I235" s="25" t="s">
        <v>37</v>
      </c>
      <c r="J235" s="25" t="s">
        <v>38</v>
      </c>
      <c r="K235" s="25" t="s">
        <v>39</v>
      </c>
      <c r="L235" s="26">
        <f t="shared" si="10"/>
        <v>0</v>
      </c>
      <c r="M235" s="26">
        <v>6.59</v>
      </c>
      <c r="N235" s="26">
        <v>6.59</v>
      </c>
      <c r="O235" s="26">
        <v>0</v>
      </c>
      <c r="P235" s="26">
        <v>0</v>
      </c>
      <c r="Q235" s="26">
        <v>0</v>
      </c>
      <c r="R235" s="26">
        <v>0</v>
      </c>
      <c r="S235" s="26">
        <f t="shared" si="9"/>
        <v>0</v>
      </c>
      <c r="T235" s="27">
        <v>300</v>
      </c>
    </row>
    <row r="236" spans="1:20" s="53" customFormat="1" ht="112.5">
      <c r="A236" s="21">
        <v>801</v>
      </c>
      <c r="B236" s="22">
        <v>30101000</v>
      </c>
      <c r="C236" s="29" t="s">
        <v>28</v>
      </c>
      <c r="D236" s="30" t="s">
        <v>269</v>
      </c>
      <c r="E236" s="21"/>
      <c r="F236" s="24"/>
      <c r="G236" s="25" t="s">
        <v>149</v>
      </c>
      <c r="H236" s="25" t="s">
        <v>150</v>
      </c>
      <c r="I236" s="25" t="s">
        <v>270</v>
      </c>
      <c r="J236" s="25" t="s">
        <v>31</v>
      </c>
      <c r="K236" s="25" t="s">
        <v>56</v>
      </c>
      <c r="L236" s="26">
        <f t="shared" si="10"/>
        <v>0</v>
      </c>
      <c r="M236" s="26">
        <v>31.05</v>
      </c>
      <c r="N236" s="26">
        <v>31.05</v>
      </c>
      <c r="O236" s="26">
        <v>0</v>
      </c>
      <c r="P236" s="26">
        <v>0</v>
      </c>
      <c r="Q236" s="26">
        <v>0</v>
      </c>
      <c r="R236" s="26">
        <v>0</v>
      </c>
      <c r="S236" s="26">
        <f t="shared" si="9"/>
        <v>0</v>
      </c>
      <c r="T236" s="27">
        <v>300</v>
      </c>
    </row>
    <row r="237" spans="1:20" s="53" customFormat="1" ht="22.5">
      <c r="A237" s="21">
        <v>801</v>
      </c>
      <c r="B237" s="22">
        <v>30101000</v>
      </c>
      <c r="C237" s="29" t="s">
        <v>28</v>
      </c>
      <c r="D237" s="30"/>
      <c r="E237" s="21"/>
      <c r="F237" s="24"/>
      <c r="G237" s="25" t="s">
        <v>149</v>
      </c>
      <c r="H237" s="25" t="s">
        <v>150</v>
      </c>
      <c r="I237" s="25" t="s">
        <v>270</v>
      </c>
      <c r="J237" s="25" t="s">
        <v>31</v>
      </c>
      <c r="K237" s="25" t="s">
        <v>60</v>
      </c>
      <c r="L237" s="26">
        <f t="shared" si="10"/>
        <v>0</v>
      </c>
      <c r="M237" s="26">
        <v>47.53</v>
      </c>
      <c r="N237" s="26">
        <v>47.53</v>
      </c>
      <c r="O237" s="26">
        <v>0</v>
      </c>
      <c r="P237" s="26">
        <v>0</v>
      </c>
      <c r="Q237" s="26">
        <v>0</v>
      </c>
      <c r="R237" s="26">
        <v>0</v>
      </c>
      <c r="S237" s="26">
        <f t="shared" si="9"/>
        <v>0</v>
      </c>
      <c r="T237" s="27">
        <v>300</v>
      </c>
    </row>
    <row r="238" spans="1:20" s="53" customFormat="1" ht="22.5">
      <c r="A238" s="21">
        <v>801</v>
      </c>
      <c r="B238" s="22">
        <v>30101000</v>
      </c>
      <c r="C238" s="29" t="s">
        <v>28</v>
      </c>
      <c r="D238" s="30"/>
      <c r="E238" s="21"/>
      <c r="F238" s="24"/>
      <c r="G238" s="25" t="s">
        <v>149</v>
      </c>
      <c r="H238" s="25" t="s">
        <v>150</v>
      </c>
      <c r="I238" s="25" t="s">
        <v>270</v>
      </c>
      <c r="J238" s="25" t="s">
        <v>31</v>
      </c>
      <c r="K238" s="25" t="s">
        <v>32</v>
      </c>
      <c r="L238" s="26">
        <f t="shared" si="10"/>
        <v>200</v>
      </c>
      <c r="M238" s="26">
        <v>0</v>
      </c>
      <c r="N238" s="26">
        <v>0</v>
      </c>
      <c r="O238" s="26">
        <v>200</v>
      </c>
      <c r="P238" s="26">
        <v>0</v>
      </c>
      <c r="Q238" s="26">
        <v>0</v>
      </c>
      <c r="R238" s="26">
        <v>0</v>
      </c>
      <c r="S238" s="26">
        <f t="shared" si="9"/>
        <v>0</v>
      </c>
      <c r="T238" s="27">
        <v>300</v>
      </c>
    </row>
    <row r="239" spans="1:20" s="53" customFormat="1" ht="22.5">
      <c r="A239" s="21">
        <v>801</v>
      </c>
      <c r="B239" s="22">
        <v>30101000</v>
      </c>
      <c r="C239" s="29" t="s">
        <v>28</v>
      </c>
      <c r="D239" s="30"/>
      <c r="E239" s="21"/>
      <c r="F239" s="24"/>
      <c r="G239" s="25" t="s">
        <v>149</v>
      </c>
      <c r="H239" s="25" t="s">
        <v>150</v>
      </c>
      <c r="I239" s="25" t="s">
        <v>270</v>
      </c>
      <c r="J239" s="25" t="s">
        <v>31</v>
      </c>
      <c r="K239" s="25" t="s">
        <v>101</v>
      </c>
      <c r="L239" s="26">
        <f t="shared" si="10"/>
        <v>0</v>
      </c>
      <c r="M239" s="26">
        <v>9.35</v>
      </c>
      <c r="N239" s="26">
        <v>9.35</v>
      </c>
      <c r="O239" s="26">
        <v>0</v>
      </c>
      <c r="P239" s="26">
        <v>0</v>
      </c>
      <c r="Q239" s="26">
        <v>0</v>
      </c>
      <c r="R239" s="26">
        <v>0</v>
      </c>
      <c r="S239" s="26">
        <f t="shared" si="9"/>
        <v>0</v>
      </c>
      <c r="T239" s="27">
        <v>300</v>
      </c>
    </row>
    <row r="240" spans="1:20" s="53" customFormat="1" ht="22.5">
      <c r="A240" s="21">
        <v>801</v>
      </c>
      <c r="B240" s="22">
        <v>30101000</v>
      </c>
      <c r="C240" s="29" t="s">
        <v>28</v>
      </c>
      <c r="D240" s="30"/>
      <c r="E240" s="21"/>
      <c r="F240" s="24"/>
      <c r="G240" s="25" t="s">
        <v>149</v>
      </c>
      <c r="H240" s="25" t="s">
        <v>150</v>
      </c>
      <c r="I240" s="25" t="s">
        <v>270</v>
      </c>
      <c r="J240" s="25" t="s">
        <v>31</v>
      </c>
      <c r="K240" s="25" t="s">
        <v>34</v>
      </c>
      <c r="L240" s="26">
        <f t="shared" si="10"/>
        <v>0</v>
      </c>
      <c r="M240" s="26">
        <v>11.57</v>
      </c>
      <c r="N240" s="26">
        <v>11.33</v>
      </c>
      <c r="O240" s="26">
        <v>0</v>
      </c>
      <c r="P240" s="26">
        <v>0</v>
      </c>
      <c r="Q240" s="26">
        <v>0</v>
      </c>
      <c r="R240" s="26">
        <v>0</v>
      </c>
      <c r="S240" s="26">
        <f t="shared" si="9"/>
        <v>0</v>
      </c>
      <c r="T240" s="27">
        <v>300</v>
      </c>
    </row>
    <row r="241" spans="1:20" s="53" customFormat="1" ht="157.5">
      <c r="A241" s="21">
        <v>801</v>
      </c>
      <c r="B241" s="22">
        <v>30101000</v>
      </c>
      <c r="C241" s="29" t="s">
        <v>28</v>
      </c>
      <c r="D241" s="30" t="s">
        <v>271</v>
      </c>
      <c r="E241" s="21"/>
      <c r="F241" s="24"/>
      <c r="G241" s="25" t="s">
        <v>149</v>
      </c>
      <c r="H241" s="25" t="s">
        <v>150</v>
      </c>
      <c r="I241" s="25" t="s">
        <v>100</v>
      </c>
      <c r="J241" s="25" t="s">
        <v>31</v>
      </c>
      <c r="K241" s="25" t="s">
        <v>32</v>
      </c>
      <c r="L241" s="26">
        <f t="shared" si="10"/>
        <v>50</v>
      </c>
      <c r="M241" s="26">
        <v>0</v>
      </c>
      <c r="N241" s="26">
        <v>0</v>
      </c>
      <c r="O241" s="26">
        <v>50</v>
      </c>
      <c r="P241" s="26">
        <v>0</v>
      </c>
      <c r="Q241" s="26">
        <v>0</v>
      </c>
      <c r="R241" s="26">
        <v>0</v>
      </c>
      <c r="S241" s="26">
        <f t="shared" si="9"/>
        <v>0</v>
      </c>
      <c r="T241" s="27">
        <v>300</v>
      </c>
    </row>
    <row r="242" spans="1:20" s="53" customFormat="1" ht="112.5">
      <c r="A242" s="21">
        <v>801</v>
      </c>
      <c r="B242" s="22">
        <v>30101000</v>
      </c>
      <c r="C242" s="29" t="s">
        <v>28</v>
      </c>
      <c r="D242" s="30" t="s">
        <v>189</v>
      </c>
      <c r="E242" s="21"/>
      <c r="F242" s="24">
        <v>40847</v>
      </c>
      <c r="G242" s="25" t="s">
        <v>149</v>
      </c>
      <c r="H242" s="25" t="s">
        <v>150</v>
      </c>
      <c r="I242" s="25" t="s">
        <v>76</v>
      </c>
      <c r="J242" s="25" t="s">
        <v>31</v>
      </c>
      <c r="K242" s="25" t="s">
        <v>59</v>
      </c>
      <c r="L242" s="26">
        <f t="shared" si="10"/>
        <v>460</v>
      </c>
      <c r="M242" s="26">
        <v>1750.5</v>
      </c>
      <c r="N242" s="26">
        <v>1546.95</v>
      </c>
      <c r="O242" s="26">
        <v>460</v>
      </c>
      <c r="P242" s="26">
        <v>89.5</v>
      </c>
      <c r="Q242" s="26">
        <v>0</v>
      </c>
      <c r="R242" s="26">
        <v>0</v>
      </c>
      <c r="S242" s="26">
        <f t="shared" si="9"/>
        <v>0</v>
      </c>
      <c r="T242" s="27">
        <v>300</v>
      </c>
    </row>
    <row r="243" spans="1:20" s="53" customFormat="1" ht="22.5">
      <c r="A243" s="21">
        <v>801</v>
      </c>
      <c r="B243" s="22">
        <v>30101000</v>
      </c>
      <c r="C243" s="29" t="s">
        <v>28</v>
      </c>
      <c r="D243" s="30"/>
      <c r="E243" s="21"/>
      <c r="F243" s="24"/>
      <c r="G243" s="25" t="s">
        <v>149</v>
      </c>
      <c r="H243" s="25" t="s">
        <v>150</v>
      </c>
      <c r="I243" s="25" t="s">
        <v>76</v>
      </c>
      <c r="J243" s="25" t="s">
        <v>31</v>
      </c>
      <c r="K243" s="25" t="s">
        <v>60</v>
      </c>
      <c r="L243" s="26">
        <f t="shared" si="10"/>
        <v>0</v>
      </c>
      <c r="M243" s="26">
        <v>49.5</v>
      </c>
      <c r="N243" s="26">
        <v>49.5</v>
      </c>
      <c r="O243" s="26">
        <v>0</v>
      </c>
      <c r="P243" s="26">
        <v>0</v>
      </c>
      <c r="Q243" s="26">
        <v>0</v>
      </c>
      <c r="R243" s="26">
        <v>0</v>
      </c>
      <c r="S243" s="26">
        <f t="shared" si="9"/>
        <v>0</v>
      </c>
      <c r="T243" s="27">
        <v>300</v>
      </c>
    </row>
    <row r="244" spans="1:20" s="53" customFormat="1" ht="22.5">
      <c r="A244" s="21">
        <v>801</v>
      </c>
      <c r="B244" s="22">
        <v>30101000</v>
      </c>
      <c r="C244" s="29" t="s">
        <v>28</v>
      </c>
      <c r="D244" s="30"/>
      <c r="E244" s="21"/>
      <c r="F244" s="24"/>
      <c r="G244" s="25" t="s">
        <v>149</v>
      </c>
      <c r="H244" s="25" t="s">
        <v>150</v>
      </c>
      <c r="I244" s="25" t="s">
        <v>76</v>
      </c>
      <c r="J244" s="25" t="s">
        <v>31</v>
      </c>
      <c r="K244" s="25" t="s">
        <v>101</v>
      </c>
      <c r="L244" s="26">
        <f t="shared" si="10"/>
        <v>540</v>
      </c>
      <c r="M244" s="26">
        <v>0</v>
      </c>
      <c r="N244" s="26">
        <v>0</v>
      </c>
      <c r="O244" s="26">
        <v>540</v>
      </c>
      <c r="P244" s="26">
        <v>0</v>
      </c>
      <c r="Q244" s="26">
        <v>0</v>
      </c>
      <c r="R244" s="26">
        <v>0</v>
      </c>
      <c r="S244" s="26">
        <f t="shared" si="9"/>
        <v>0</v>
      </c>
      <c r="T244" s="27">
        <v>300</v>
      </c>
    </row>
    <row r="245" spans="1:20" s="53" customFormat="1" ht="90">
      <c r="A245" s="21">
        <v>801</v>
      </c>
      <c r="B245" s="22">
        <v>30101000</v>
      </c>
      <c r="C245" s="29" t="s">
        <v>28</v>
      </c>
      <c r="D245" s="30" t="s">
        <v>190</v>
      </c>
      <c r="E245" s="21"/>
      <c r="F245" s="24">
        <v>40589</v>
      </c>
      <c r="G245" s="25" t="s">
        <v>149</v>
      </c>
      <c r="H245" s="25" t="s">
        <v>150</v>
      </c>
      <c r="I245" s="25" t="s">
        <v>78</v>
      </c>
      <c r="J245" s="25" t="s">
        <v>31</v>
      </c>
      <c r="K245" s="25" t="s">
        <v>55</v>
      </c>
      <c r="L245" s="26">
        <f t="shared" si="10"/>
        <v>74.4</v>
      </c>
      <c r="M245" s="26">
        <v>72.33</v>
      </c>
      <c r="N245" s="26">
        <v>63.190000000000005</v>
      </c>
      <c r="O245" s="26">
        <v>74.4</v>
      </c>
      <c r="P245" s="26">
        <v>8.96</v>
      </c>
      <c r="Q245" s="26">
        <v>0</v>
      </c>
      <c r="R245" s="26">
        <v>0</v>
      </c>
      <c r="S245" s="26">
        <f t="shared" si="9"/>
        <v>0</v>
      </c>
      <c r="T245" s="27">
        <v>300</v>
      </c>
    </row>
    <row r="246" spans="1:20" s="53" customFormat="1" ht="22.5">
      <c r="A246" s="21">
        <v>801</v>
      </c>
      <c r="B246" s="22">
        <v>30101000</v>
      </c>
      <c r="C246" s="29" t="s">
        <v>28</v>
      </c>
      <c r="D246" s="23"/>
      <c r="E246" s="21"/>
      <c r="F246" s="24"/>
      <c r="G246" s="25" t="s">
        <v>149</v>
      </c>
      <c r="H246" s="25" t="s">
        <v>150</v>
      </c>
      <c r="I246" s="25" t="s">
        <v>78</v>
      </c>
      <c r="J246" s="25" t="s">
        <v>31</v>
      </c>
      <c r="K246" s="25" t="s">
        <v>59</v>
      </c>
      <c r="L246" s="26">
        <f t="shared" si="10"/>
        <v>129.5</v>
      </c>
      <c r="M246" s="26">
        <v>140.5</v>
      </c>
      <c r="N246" s="26">
        <v>140.5</v>
      </c>
      <c r="O246" s="26">
        <v>129.5</v>
      </c>
      <c r="P246" s="26">
        <v>20</v>
      </c>
      <c r="Q246" s="26">
        <v>0</v>
      </c>
      <c r="R246" s="26">
        <v>0</v>
      </c>
      <c r="S246" s="26">
        <f t="shared" si="9"/>
        <v>0</v>
      </c>
      <c r="T246" s="27">
        <v>300</v>
      </c>
    </row>
    <row r="247" spans="1:20" s="53" customFormat="1" ht="22.5">
      <c r="A247" s="21">
        <v>801</v>
      </c>
      <c r="B247" s="22">
        <v>30101000</v>
      </c>
      <c r="C247" s="29" t="s">
        <v>28</v>
      </c>
      <c r="D247" s="23"/>
      <c r="E247" s="21"/>
      <c r="F247" s="24"/>
      <c r="G247" s="25" t="s">
        <v>149</v>
      </c>
      <c r="H247" s="25" t="s">
        <v>150</v>
      </c>
      <c r="I247" s="25" t="s">
        <v>78</v>
      </c>
      <c r="J247" s="25" t="s">
        <v>31</v>
      </c>
      <c r="K247" s="25" t="s">
        <v>60</v>
      </c>
      <c r="L247" s="26">
        <f t="shared" si="10"/>
        <v>62</v>
      </c>
      <c r="M247" s="26">
        <v>98.57000000000001</v>
      </c>
      <c r="N247" s="26">
        <v>98.56</v>
      </c>
      <c r="O247" s="26">
        <v>62</v>
      </c>
      <c r="P247" s="26">
        <v>1</v>
      </c>
      <c r="Q247" s="26">
        <v>0</v>
      </c>
      <c r="R247" s="26">
        <v>0</v>
      </c>
      <c r="S247" s="26">
        <f t="shared" si="9"/>
        <v>0</v>
      </c>
      <c r="T247" s="27">
        <v>300</v>
      </c>
    </row>
    <row r="248" spans="1:20" s="53" customFormat="1" ht="22.5">
      <c r="A248" s="21">
        <v>801</v>
      </c>
      <c r="B248" s="22">
        <v>30101000</v>
      </c>
      <c r="C248" s="29" t="s">
        <v>28</v>
      </c>
      <c r="D248" s="23"/>
      <c r="E248" s="21"/>
      <c r="F248" s="24"/>
      <c r="G248" s="25" t="s">
        <v>149</v>
      </c>
      <c r="H248" s="25" t="s">
        <v>150</v>
      </c>
      <c r="I248" s="25" t="s">
        <v>78</v>
      </c>
      <c r="J248" s="25" t="s">
        <v>31</v>
      </c>
      <c r="K248" s="25" t="s">
        <v>101</v>
      </c>
      <c r="L248" s="26">
        <f t="shared" si="10"/>
        <v>247.1</v>
      </c>
      <c r="M248" s="26">
        <v>404.67</v>
      </c>
      <c r="N248" s="26">
        <v>380.88</v>
      </c>
      <c r="O248" s="26">
        <v>247.1</v>
      </c>
      <c r="P248" s="26">
        <v>0</v>
      </c>
      <c r="Q248" s="26">
        <v>0</v>
      </c>
      <c r="R248" s="26">
        <v>0</v>
      </c>
      <c r="S248" s="26">
        <f t="shared" si="9"/>
        <v>0</v>
      </c>
      <c r="T248" s="27">
        <v>300</v>
      </c>
    </row>
    <row r="249" spans="1:20" s="53" customFormat="1" ht="22.5">
      <c r="A249" s="21">
        <v>801</v>
      </c>
      <c r="B249" s="22">
        <v>30101000</v>
      </c>
      <c r="C249" s="29" t="s">
        <v>28</v>
      </c>
      <c r="D249" s="23"/>
      <c r="E249" s="21"/>
      <c r="F249" s="24"/>
      <c r="G249" s="25" t="s">
        <v>149</v>
      </c>
      <c r="H249" s="25" t="s">
        <v>150</v>
      </c>
      <c r="I249" s="25" t="s">
        <v>78</v>
      </c>
      <c r="J249" s="25" t="s">
        <v>31</v>
      </c>
      <c r="K249" s="25" t="s">
        <v>34</v>
      </c>
      <c r="L249" s="26">
        <f t="shared" si="10"/>
        <v>247</v>
      </c>
      <c r="M249" s="26">
        <v>133.13</v>
      </c>
      <c r="N249" s="26">
        <v>131.88</v>
      </c>
      <c r="O249" s="26">
        <v>247</v>
      </c>
      <c r="P249" s="26">
        <v>13</v>
      </c>
      <c r="Q249" s="26">
        <v>0</v>
      </c>
      <c r="R249" s="26">
        <v>0</v>
      </c>
      <c r="S249" s="26">
        <f t="shared" si="9"/>
        <v>0</v>
      </c>
      <c r="T249" s="27">
        <v>300</v>
      </c>
    </row>
    <row r="250" spans="1:20" ht="90">
      <c r="A250" s="21">
        <v>801</v>
      </c>
      <c r="B250" s="22">
        <v>30101000</v>
      </c>
      <c r="C250" s="29" t="s">
        <v>28</v>
      </c>
      <c r="D250" s="30" t="s">
        <v>272</v>
      </c>
      <c r="E250" s="21"/>
      <c r="F250" s="24">
        <v>40617</v>
      </c>
      <c r="G250" s="25" t="s">
        <v>149</v>
      </c>
      <c r="H250" s="25" t="s">
        <v>150</v>
      </c>
      <c r="I250" s="25" t="s">
        <v>273</v>
      </c>
      <c r="J250" s="25" t="s">
        <v>31</v>
      </c>
      <c r="K250" s="25" t="s">
        <v>60</v>
      </c>
      <c r="L250" s="26">
        <f t="shared" si="10"/>
        <v>470</v>
      </c>
      <c r="M250" s="26">
        <v>273.2</v>
      </c>
      <c r="N250" s="26">
        <v>238.55</v>
      </c>
      <c r="O250" s="26">
        <v>470</v>
      </c>
      <c r="P250" s="26">
        <v>0</v>
      </c>
      <c r="Q250" s="26">
        <v>0</v>
      </c>
      <c r="R250" s="26">
        <v>0</v>
      </c>
      <c r="S250" s="26">
        <f t="shared" si="9"/>
        <v>0</v>
      </c>
      <c r="T250" s="27">
        <v>300</v>
      </c>
    </row>
    <row r="251" spans="1:20" ht="22.5">
      <c r="A251" s="21">
        <v>801</v>
      </c>
      <c r="B251" s="22">
        <v>30101000</v>
      </c>
      <c r="C251" s="29" t="s">
        <v>28</v>
      </c>
      <c r="D251" s="30"/>
      <c r="E251" s="21"/>
      <c r="F251" s="24"/>
      <c r="G251" s="25" t="s">
        <v>149</v>
      </c>
      <c r="H251" s="25" t="s">
        <v>150</v>
      </c>
      <c r="I251" s="25" t="s">
        <v>273</v>
      </c>
      <c r="J251" s="25" t="s">
        <v>31</v>
      </c>
      <c r="K251" s="25" t="s">
        <v>32</v>
      </c>
      <c r="L251" s="26">
        <f t="shared" si="10"/>
        <v>30</v>
      </c>
      <c r="M251" s="26">
        <v>0</v>
      </c>
      <c r="N251" s="26">
        <v>0</v>
      </c>
      <c r="O251" s="26">
        <v>30</v>
      </c>
      <c r="P251" s="26">
        <v>0</v>
      </c>
      <c r="Q251" s="26">
        <v>0</v>
      </c>
      <c r="R251" s="26">
        <v>0</v>
      </c>
      <c r="S251" s="26">
        <f t="shared" si="9"/>
        <v>0</v>
      </c>
      <c r="T251" s="27">
        <v>300</v>
      </c>
    </row>
    <row r="252" spans="1:20" ht="56.25">
      <c r="A252" s="21">
        <v>801</v>
      </c>
      <c r="B252" s="22">
        <v>30101000</v>
      </c>
      <c r="C252" s="29" t="s">
        <v>28</v>
      </c>
      <c r="D252" s="30" t="s">
        <v>274</v>
      </c>
      <c r="E252" s="21"/>
      <c r="F252" s="24">
        <v>40544</v>
      </c>
      <c r="G252" s="25" t="s">
        <v>149</v>
      </c>
      <c r="H252" s="25" t="s">
        <v>150</v>
      </c>
      <c r="I252" s="25" t="s">
        <v>211</v>
      </c>
      <c r="J252" s="25" t="s">
        <v>31</v>
      </c>
      <c r="K252" s="25" t="s">
        <v>60</v>
      </c>
      <c r="L252" s="26">
        <f t="shared" si="10"/>
        <v>0</v>
      </c>
      <c r="M252" s="26">
        <v>25.400000000000002</v>
      </c>
      <c r="N252" s="26">
        <v>25.400000000000002</v>
      </c>
      <c r="O252" s="26">
        <v>0</v>
      </c>
      <c r="P252" s="26">
        <v>0</v>
      </c>
      <c r="Q252" s="26">
        <v>0</v>
      </c>
      <c r="R252" s="26">
        <v>0</v>
      </c>
      <c r="S252" s="26">
        <f t="shared" si="9"/>
        <v>0</v>
      </c>
      <c r="T252" s="27">
        <v>300</v>
      </c>
    </row>
    <row r="253" spans="1:20" ht="22.5">
      <c r="A253" s="21">
        <v>801</v>
      </c>
      <c r="B253" s="22">
        <v>30101000</v>
      </c>
      <c r="C253" s="29" t="s">
        <v>28</v>
      </c>
      <c r="D253" s="30"/>
      <c r="E253" s="21"/>
      <c r="F253" s="24"/>
      <c r="G253" s="25" t="s">
        <v>149</v>
      </c>
      <c r="H253" s="25" t="s">
        <v>150</v>
      </c>
      <c r="I253" s="25" t="s">
        <v>211</v>
      </c>
      <c r="J253" s="25" t="s">
        <v>31</v>
      </c>
      <c r="K253" s="25" t="s">
        <v>32</v>
      </c>
      <c r="L253" s="26">
        <f>O253</f>
        <v>105</v>
      </c>
      <c r="M253" s="26">
        <v>56.1</v>
      </c>
      <c r="N253" s="26">
        <v>56.1</v>
      </c>
      <c r="O253" s="26">
        <v>105</v>
      </c>
      <c r="P253" s="26">
        <v>0</v>
      </c>
      <c r="Q253" s="26">
        <v>0</v>
      </c>
      <c r="R253" s="26">
        <v>0</v>
      </c>
      <c r="S253" s="26">
        <f t="shared" si="9"/>
        <v>0</v>
      </c>
      <c r="T253" s="27">
        <v>300</v>
      </c>
    </row>
    <row r="254" spans="1:20" ht="22.5">
      <c r="A254" s="21">
        <v>801</v>
      </c>
      <c r="B254" s="22">
        <v>30101000</v>
      </c>
      <c r="C254" s="29" t="s">
        <v>28</v>
      </c>
      <c r="D254" s="30"/>
      <c r="E254" s="21"/>
      <c r="F254" s="24"/>
      <c r="G254" s="25" t="s">
        <v>149</v>
      </c>
      <c r="H254" s="25" t="s">
        <v>150</v>
      </c>
      <c r="I254" s="25" t="s">
        <v>211</v>
      </c>
      <c r="J254" s="25" t="s">
        <v>31</v>
      </c>
      <c r="K254" s="25" t="s">
        <v>34</v>
      </c>
      <c r="L254" s="26">
        <f>O254</f>
        <v>0</v>
      </c>
      <c r="M254" s="26">
        <v>13.5</v>
      </c>
      <c r="N254" s="26">
        <v>13.5</v>
      </c>
      <c r="O254" s="26">
        <v>0</v>
      </c>
      <c r="P254" s="26">
        <v>0</v>
      </c>
      <c r="Q254" s="26">
        <v>0</v>
      </c>
      <c r="R254" s="26">
        <v>0</v>
      </c>
      <c r="S254" s="26">
        <f t="shared" si="9"/>
        <v>0</v>
      </c>
      <c r="T254" s="27">
        <v>300</v>
      </c>
    </row>
    <row r="255" spans="1:20" ht="45">
      <c r="A255" s="21">
        <v>801</v>
      </c>
      <c r="B255" s="22">
        <v>30101000</v>
      </c>
      <c r="C255" s="29" t="s">
        <v>28</v>
      </c>
      <c r="D255" s="30" t="s">
        <v>275</v>
      </c>
      <c r="E255" s="21"/>
      <c r="F255" s="24">
        <v>40179</v>
      </c>
      <c r="G255" s="25" t="s">
        <v>149</v>
      </c>
      <c r="H255" s="25" t="s">
        <v>150</v>
      </c>
      <c r="I255" s="25" t="s">
        <v>235</v>
      </c>
      <c r="J255" s="25" t="s">
        <v>31</v>
      </c>
      <c r="K255" s="25" t="s">
        <v>59</v>
      </c>
      <c r="L255" s="26">
        <f>O255</f>
        <v>141.4</v>
      </c>
      <c r="M255" s="26">
        <v>20.7</v>
      </c>
      <c r="N255" s="26">
        <v>19.6</v>
      </c>
      <c r="O255" s="26">
        <v>141.4</v>
      </c>
      <c r="P255" s="26">
        <v>0</v>
      </c>
      <c r="Q255" s="26">
        <v>0</v>
      </c>
      <c r="R255" s="26">
        <v>0</v>
      </c>
      <c r="S255" s="26">
        <f t="shared" si="9"/>
        <v>0</v>
      </c>
      <c r="T255" s="27">
        <v>300</v>
      </c>
    </row>
    <row r="256" spans="1:20" s="53" customFormat="1" ht="146.25">
      <c r="A256" s="21">
        <v>801</v>
      </c>
      <c r="B256" s="22">
        <v>30101000</v>
      </c>
      <c r="C256" s="29" t="s">
        <v>28</v>
      </c>
      <c r="D256" s="30" t="s">
        <v>276</v>
      </c>
      <c r="E256" s="21"/>
      <c r="F256" s="31" t="s">
        <v>277</v>
      </c>
      <c r="G256" s="25" t="s">
        <v>153</v>
      </c>
      <c r="H256" s="25" t="s">
        <v>152</v>
      </c>
      <c r="I256" s="25" t="s">
        <v>42</v>
      </c>
      <c r="J256" s="25" t="s">
        <v>31</v>
      </c>
      <c r="K256" s="25" t="s">
        <v>32</v>
      </c>
      <c r="L256" s="26">
        <f aca="true" t="shared" si="11" ref="L256:L268">O256</f>
        <v>100</v>
      </c>
      <c r="M256" s="26">
        <v>10</v>
      </c>
      <c r="N256" s="26">
        <v>10</v>
      </c>
      <c r="O256" s="26">
        <v>100</v>
      </c>
      <c r="P256" s="26">
        <v>0</v>
      </c>
      <c r="Q256" s="26">
        <v>0</v>
      </c>
      <c r="R256" s="26">
        <v>0</v>
      </c>
      <c r="S256" s="26">
        <f t="shared" si="9"/>
        <v>0</v>
      </c>
      <c r="T256" s="27">
        <v>300</v>
      </c>
    </row>
    <row r="257" spans="1:20" s="53" customFormat="1" ht="22.5">
      <c r="A257" s="21">
        <v>801</v>
      </c>
      <c r="B257" s="22">
        <v>30101000</v>
      </c>
      <c r="C257" s="29" t="s">
        <v>28</v>
      </c>
      <c r="D257" s="23"/>
      <c r="E257" s="21"/>
      <c r="F257" s="31"/>
      <c r="G257" s="25" t="s">
        <v>153</v>
      </c>
      <c r="H257" s="25" t="s">
        <v>152</v>
      </c>
      <c r="I257" s="25" t="s">
        <v>278</v>
      </c>
      <c r="J257" s="25" t="s">
        <v>31</v>
      </c>
      <c r="K257" s="25" t="s">
        <v>32</v>
      </c>
      <c r="L257" s="26">
        <f t="shared" si="11"/>
        <v>0</v>
      </c>
      <c r="M257" s="26">
        <v>0</v>
      </c>
      <c r="N257" s="26">
        <v>0</v>
      </c>
      <c r="O257" s="26">
        <v>0</v>
      </c>
      <c r="P257" s="26">
        <v>0</v>
      </c>
      <c r="Q257" s="26">
        <v>935.5</v>
      </c>
      <c r="R257" s="26">
        <v>1195.5</v>
      </c>
      <c r="S257" s="26">
        <f t="shared" si="9"/>
        <v>1195.5</v>
      </c>
      <c r="T257" s="27"/>
    </row>
    <row r="258" spans="1:20" s="53" customFormat="1" ht="90">
      <c r="A258" s="21">
        <v>801</v>
      </c>
      <c r="B258" s="22">
        <v>30101000</v>
      </c>
      <c r="C258" s="29" t="s">
        <v>28</v>
      </c>
      <c r="D258" s="30" t="s">
        <v>268</v>
      </c>
      <c r="E258" s="21"/>
      <c r="F258" s="24">
        <v>40909</v>
      </c>
      <c r="G258" s="25" t="s">
        <v>155</v>
      </c>
      <c r="H258" s="25" t="s">
        <v>149</v>
      </c>
      <c r="I258" s="25" t="s">
        <v>37</v>
      </c>
      <c r="J258" s="25" t="s">
        <v>31</v>
      </c>
      <c r="K258" s="25" t="s">
        <v>52</v>
      </c>
      <c r="L258" s="26">
        <f t="shared" si="11"/>
        <v>73.56</v>
      </c>
      <c r="M258" s="26">
        <v>0</v>
      </c>
      <c r="N258" s="26">
        <v>0</v>
      </c>
      <c r="O258" s="26">
        <v>73.56</v>
      </c>
      <c r="P258" s="26">
        <v>0</v>
      </c>
      <c r="Q258" s="26">
        <v>0</v>
      </c>
      <c r="R258" s="26">
        <v>0</v>
      </c>
      <c r="S258" s="26">
        <f t="shared" si="9"/>
        <v>0</v>
      </c>
      <c r="T258" s="27">
        <v>300</v>
      </c>
    </row>
    <row r="259" spans="1:20" s="53" customFormat="1" ht="22.5">
      <c r="A259" s="21">
        <v>801</v>
      </c>
      <c r="B259" s="22">
        <v>30101000</v>
      </c>
      <c r="C259" s="29" t="s">
        <v>28</v>
      </c>
      <c r="D259" s="30"/>
      <c r="E259" s="21"/>
      <c r="F259" s="24"/>
      <c r="G259" s="25" t="s">
        <v>155</v>
      </c>
      <c r="H259" s="25" t="s">
        <v>149</v>
      </c>
      <c r="I259" s="25" t="s">
        <v>37</v>
      </c>
      <c r="J259" s="25" t="s">
        <v>31</v>
      </c>
      <c r="K259" s="25" t="s">
        <v>54</v>
      </c>
      <c r="L259" s="26">
        <f t="shared" si="11"/>
        <v>22.22</v>
      </c>
      <c r="M259" s="26">
        <v>0</v>
      </c>
      <c r="N259" s="26">
        <v>0</v>
      </c>
      <c r="O259" s="26">
        <v>22.22</v>
      </c>
      <c r="P259" s="26">
        <v>0</v>
      </c>
      <c r="Q259" s="26">
        <v>0</v>
      </c>
      <c r="R259" s="26">
        <v>0</v>
      </c>
      <c r="S259" s="26">
        <f t="shared" si="9"/>
        <v>0</v>
      </c>
      <c r="T259" s="27">
        <v>300</v>
      </c>
    </row>
    <row r="260" spans="1:20" s="53" customFormat="1" ht="90">
      <c r="A260" s="21">
        <v>801</v>
      </c>
      <c r="B260" s="22">
        <v>30101000</v>
      </c>
      <c r="C260" s="29" t="s">
        <v>28</v>
      </c>
      <c r="D260" s="30" t="s">
        <v>279</v>
      </c>
      <c r="E260" s="21"/>
      <c r="F260" s="24">
        <v>41275</v>
      </c>
      <c r="G260" s="25" t="s">
        <v>155</v>
      </c>
      <c r="H260" s="25" t="s">
        <v>280</v>
      </c>
      <c r="I260" s="25" t="s">
        <v>281</v>
      </c>
      <c r="J260" s="25" t="s">
        <v>31</v>
      </c>
      <c r="K260" s="25" t="s">
        <v>32</v>
      </c>
      <c r="L260" s="26">
        <f t="shared" si="11"/>
        <v>300</v>
      </c>
      <c r="M260" s="26">
        <v>0</v>
      </c>
      <c r="N260" s="26">
        <v>0</v>
      </c>
      <c r="O260" s="26">
        <v>300</v>
      </c>
      <c r="P260" s="26">
        <v>0</v>
      </c>
      <c r="Q260" s="26">
        <v>0</v>
      </c>
      <c r="R260" s="26">
        <v>0</v>
      </c>
      <c r="S260" s="26">
        <f t="shared" si="9"/>
        <v>0</v>
      </c>
      <c r="T260" s="27">
        <v>300</v>
      </c>
    </row>
    <row r="261" spans="1:20" ht="78.75">
      <c r="A261" s="21">
        <v>801</v>
      </c>
      <c r="B261" s="22">
        <v>30101000</v>
      </c>
      <c r="C261" s="29" t="s">
        <v>28</v>
      </c>
      <c r="D261" s="14" t="s">
        <v>282</v>
      </c>
      <c r="E261" s="15"/>
      <c r="F261" s="24">
        <v>40457</v>
      </c>
      <c r="G261" s="25" t="s">
        <v>155</v>
      </c>
      <c r="H261" s="25" t="s">
        <v>192</v>
      </c>
      <c r="I261" s="25" t="s">
        <v>283</v>
      </c>
      <c r="J261" s="25" t="s">
        <v>31</v>
      </c>
      <c r="K261" s="25" t="s">
        <v>60</v>
      </c>
      <c r="L261" s="26">
        <f t="shared" si="11"/>
        <v>32</v>
      </c>
      <c r="M261" s="26">
        <v>63.5</v>
      </c>
      <c r="N261" s="26">
        <v>63.04</v>
      </c>
      <c r="O261" s="26">
        <v>32</v>
      </c>
      <c r="P261" s="26">
        <v>31.66</v>
      </c>
      <c r="Q261" s="26">
        <v>0</v>
      </c>
      <c r="R261" s="26">
        <v>0</v>
      </c>
      <c r="S261" s="26">
        <f t="shared" si="9"/>
        <v>0</v>
      </c>
      <c r="T261" s="27">
        <v>300</v>
      </c>
    </row>
    <row r="262" spans="1:20" ht="22.5">
      <c r="A262" s="21">
        <v>801</v>
      </c>
      <c r="B262" s="22">
        <v>30101000</v>
      </c>
      <c r="C262" s="29" t="s">
        <v>28</v>
      </c>
      <c r="D262" s="14"/>
      <c r="E262" s="15"/>
      <c r="F262" s="24"/>
      <c r="G262" s="25" t="s">
        <v>155</v>
      </c>
      <c r="H262" s="25" t="s">
        <v>192</v>
      </c>
      <c r="I262" s="25" t="s">
        <v>283</v>
      </c>
      <c r="J262" s="25" t="s">
        <v>31</v>
      </c>
      <c r="K262" s="25" t="s">
        <v>32</v>
      </c>
      <c r="L262" s="26">
        <f t="shared" si="11"/>
        <v>48</v>
      </c>
      <c r="M262" s="26">
        <v>2.14</v>
      </c>
      <c r="N262" s="26">
        <v>0</v>
      </c>
      <c r="O262" s="26">
        <v>48</v>
      </c>
      <c r="P262" s="26">
        <v>0</v>
      </c>
      <c r="Q262" s="26">
        <v>0</v>
      </c>
      <c r="R262" s="26">
        <v>0</v>
      </c>
      <c r="S262" s="26">
        <f t="shared" si="9"/>
        <v>0</v>
      </c>
      <c r="T262" s="27">
        <v>300</v>
      </c>
    </row>
    <row r="263" spans="1:20" ht="22.5">
      <c r="A263" s="21">
        <v>801</v>
      </c>
      <c r="B263" s="22">
        <v>30101000</v>
      </c>
      <c r="C263" s="29" t="s">
        <v>28</v>
      </c>
      <c r="D263" s="14"/>
      <c r="E263" s="15"/>
      <c r="F263" s="24"/>
      <c r="G263" s="25" t="s">
        <v>155</v>
      </c>
      <c r="H263" s="25" t="s">
        <v>192</v>
      </c>
      <c r="I263" s="25" t="s">
        <v>283</v>
      </c>
      <c r="J263" s="25" t="s">
        <v>31</v>
      </c>
      <c r="K263" s="25" t="s">
        <v>34</v>
      </c>
      <c r="L263" s="26">
        <f t="shared" si="11"/>
        <v>0</v>
      </c>
      <c r="M263" s="26">
        <v>14.36</v>
      </c>
      <c r="N263" s="26">
        <v>13.92</v>
      </c>
      <c r="O263" s="26">
        <v>0</v>
      </c>
      <c r="P263" s="26">
        <v>0</v>
      </c>
      <c r="Q263" s="26">
        <v>0</v>
      </c>
      <c r="R263" s="26">
        <v>0</v>
      </c>
      <c r="S263" s="26">
        <f t="shared" si="9"/>
        <v>0</v>
      </c>
      <c r="T263" s="27">
        <v>300</v>
      </c>
    </row>
    <row r="264" spans="1:20" s="53" customFormat="1" ht="22.5">
      <c r="A264" s="21">
        <v>801</v>
      </c>
      <c r="B264" s="22">
        <v>30101000</v>
      </c>
      <c r="C264" s="29" t="s">
        <v>28</v>
      </c>
      <c r="D264" s="23"/>
      <c r="E264" s="21"/>
      <c r="F264" s="24"/>
      <c r="G264" s="25" t="s">
        <v>280</v>
      </c>
      <c r="H264" s="25" t="s">
        <v>156</v>
      </c>
      <c r="I264" s="25" t="s">
        <v>284</v>
      </c>
      <c r="J264" s="25" t="s">
        <v>31</v>
      </c>
      <c r="K264" s="25" t="s">
        <v>59</v>
      </c>
      <c r="L264" s="26">
        <f t="shared" si="11"/>
        <v>3.66</v>
      </c>
      <c r="M264" s="26">
        <v>1112.6000000000001</v>
      </c>
      <c r="N264" s="26">
        <v>1025.31</v>
      </c>
      <c r="O264" s="26">
        <v>3.66</v>
      </c>
      <c r="P264" s="26">
        <v>3.66</v>
      </c>
      <c r="Q264" s="26">
        <v>0</v>
      </c>
      <c r="R264" s="26">
        <v>0</v>
      </c>
      <c r="S264" s="26">
        <f t="shared" si="9"/>
        <v>0</v>
      </c>
      <c r="T264" s="27">
        <v>300</v>
      </c>
    </row>
    <row r="265" spans="1:20" s="53" customFormat="1" ht="78.75">
      <c r="A265" s="21">
        <v>801</v>
      </c>
      <c r="B265" s="22">
        <v>30101000</v>
      </c>
      <c r="C265" s="29" t="s">
        <v>28</v>
      </c>
      <c r="D265" s="30" t="s">
        <v>285</v>
      </c>
      <c r="E265" s="21"/>
      <c r="F265" s="24">
        <v>40544</v>
      </c>
      <c r="G265" s="25" t="s">
        <v>280</v>
      </c>
      <c r="H265" s="25" t="s">
        <v>156</v>
      </c>
      <c r="I265" s="25" t="s">
        <v>286</v>
      </c>
      <c r="J265" s="25" t="s">
        <v>31</v>
      </c>
      <c r="K265" s="25" t="s">
        <v>59</v>
      </c>
      <c r="L265" s="26">
        <f t="shared" si="11"/>
        <v>1967.34</v>
      </c>
      <c r="M265" s="26">
        <v>3487.76</v>
      </c>
      <c r="N265" s="26">
        <v>3224.12</v>
      </c>
      <c r="O265" s="26">
        <v>1967.34</v>
      </c>
      <c r="P265" s="26">
        <v>0</v>
      </c>
      <c r="Q265" s="26">
        <v>1392</v>
      </c>
      <c r="R265" s="26">
        <v>0</v>
      </c>
      <c r="S265" s="26">
        <f t="shared" si="9"/>
        <v>0</v>
      </c>
      <c r="T265" s="27">
        <v>300</v>
      </c>
    </row>
    <row r="266" spans="1:20" s="53" customFormat="1" ht="22.5">
      <c r="A266" s="21">
        <v>801</v>
      </c>
      <c r="B266" s="22">
        <v>30101000</v>
      </c>
      <c r="C266" s="29" t="s">
        <v>28</v>
      </c>
      <c r="D266" s="23"/>
      <c r="E266" s="21"/>
      <c r="F266" s="24"/>
      <c r="G266" s="25" t="s">
        <v>280</v>
      </c>
      <c r="H266" s="25" t="s">
        <v>156</v>
      </c>
      <c r="I266" s="25" t="s">
        <v>286</v>
      </c>
      <c r="J266" s="25" t="s">
        <v>31</v>
      </c>
      <c r="K266" s="25" t="s">
        <v>60</v>
      </c>
      <c r="L266" s="26">
        <f t="shared" si="11"/>
        <v>0</v>
      </c>
      <c r="M266" s="26">
        <v>598</v>
      </c>
      <c r="N266" s="26">
        <v>335.23</v>
      </c>
      <c r="O266" s="26">
        <v>0</v>
      </c>
      <c r="P266" s="26">
        <v>0</v>
      </c>
      <c r="Q266" s="26">
        <v>0</v>
      </c>
      <c r="R266" s="26">
        <v>0</v>
      </c>
      <c r="S266" s="26">
        <f t="shared" si="9"/>
        <v>0</v>
      </c>
      <c r="T266" s="27">
        <v>300</v>
      </c>
    </row>
    <row r="267" spans="1:20" s="53" customFormat="1" ht="22.5">
      <c r="A267" s="21">
        <v>801</v>
      </c>
      <c r="B267" s="22">
        <v>30101000</v>
      </c>
      <c r="C267" s="29" t="s">
        <v>28</v>
      </c>
      <c r="D267" s="23"/>
      <c r="E267" s="21"/>
      <c r="F267" s="24"/>
      <c r="G267" s="25" t="s">
        <v>280</v>
      </c>
      <c r="H267" s="25" t="s">
        <v>156</v>
      </c>
      <c r="I267" s="25" t="s">
        <v>286</v>
      </c>
      <c r="J267" s="25" t="s">
        <v>31</v>
      </c>
      <c r="K267" s="25" t="s">
        <v>101</v>
      </c>
      <c r="L267" s="26">
        <f t="shared" si="11"/>
        <v>0</v>
      </c>
      <c r="M267" s="26">
        <f>2462.64-633.3-603.6</f>
        <v>1225.7399999999998</v>
      </c>
      <c r="N267" s="26">
        <f>1940.52-115.44-603.6</f>
        <v>1221.48</v>
      </c>
      <c r="O267" s="26">
        <v>0</v>
      </c>
      <c r="P267" s="26">
        <v>0</v>
      </c>
      <c r="Q267" s="26">
        <v>0</v>
      </c>
      <c r="R267" s="26">
        <v>0</v>
      </c>
      <c r="S267" s="26">
        <f t="shared" si="9"/>
        <v>0</v>
      </c>
      <c r="T267" s="27">
        <v>300</v>
      </c>
    </row>
    <row r="268" spans="1:20" ht="56.25">
      <c r="A268" s="21">
        <v>801</v>
      </c>
      <c r="B268" s="22">
        <v>30101000</v>
      </c>
      <c r="C268" s="29" t="s">
        <v>28</v>
      </c>
      <c r="D268" s="30" t="s">
        <v>287</v>
      </c>
      <c r="E268" s="21"/>
      <c r="F268" s="24">
        <v>40544</v>
      </c>
      <c r="G268" s="25" t="s">
        <v>280</v>
      </c>
      <c r="H268" s="25" t="s">
        <v>156</v>
      </c>
      <c r="I268" s="25" t="s">
        <v>288</v>
      </c>
      <c r="J268" s="25" t="s">
        <v>289</v>
      </c>
      <c r="K268" s="25" t="s">
        <v>101</v>
      </c>
      <c r="L268" s="26">
        <f t="shared" si="11"/>
        <v>8090.8</v>
      </c>
      <c r="M268" s="26">
        <v>5432.1</v>
      </c>
      <c r="N268" s="26">
        <v>5432.1</v>
      </c>
      <c r="O268" s="26">
        <v>8090.8</v>
      </c>
      <c r="P268" s="26">
        <v>0</v>
      </c>
      <c r="Q268" s="26">
        <v>12528</v>
      </c>
      <c r="R268" s="26">
        <v>12528</v>
      </c>
      <c r="S268" s="26">
        <f t="shared" si="9"/>
        <v>12528</v>
      </c>
      <c r="T268" s="27">
        <v>300</v>
      </c>
    </row>
    <row r="269" spans="1:20" ht="45">
      <c r="A269" s="21">
        <v>801</v>
      </c>
      <c r="B269" s="22">
        <v>30101000</v>
      </c>
      <c r="C269" s="29" t="s">
        <v>28</v>
      </c>
      <c r="D269" s="30" t="s">
        <v>290</v>
      </c>
      <c r="E269" s="21"/>
      <c r="F269" s="24">
        <v>40544</v>
      </c>
      <c r="G269" s="25" t="s">
        <v>280</v>
      </c>
      <c r="H269" s="25" t="s">
        <v>156</v>
      </c>
      <c r="I269" s="25" t="s">
        <v>291</v>
      </c>
      <c r="J269" s="25" t="s">
        <v>289</v>
      </c>
      <c r="K269" s="25" t="s">
        <v>101</v>
      </c>
      <c r="L269" s="26">
        <f>O269</f>
        <v>0</v>
      </c>
      <c r="M269" s="26">
        <v>2426.5</v>
      </c>
      <c r="N269" s="26">
        <v>2426.5</v>
      </c>
      <c r="O269" s="26">
        <v>0</v>
      </c>
      <c r="P269" s="26">
        <v>0</v>
      </c>
      <c r="Q269" s="26">
        <v>0</v>
      </c>
      <c r="R269" s="26">
        <v>0</v>
      </c>
      <c r="S269" s="26">
        <f>R269</f>
        <v>0</v>
      </c>
      <c r="T269" s="27">
        <v>300</v>
      </c>
    </row>
    <row r="270" spans="1:20" ht="61.5" customHeight="1">
      <c r="A270" s="21">
        <v>801</v>
      </c>
      <c r="B270" s="22">
        <v>30101000</v>
      </c>
      <c r="C270" s="29" t="s">
        <v>28</v>
      </c>
      <c r="D270" s="30" t="s">
        <v>285</v>
      </c>
      <c r="E270" s="21"/>
      <c r="F270" s="24">
        <v>40544</v>
      </c>
      <c r="G270" s="25" t="s">
        <v>280</v>
      </c>
      <c r="H270" s="25" t="s">
        <v>156</v>
      </c>
      <c r="I270" s="25" t="s">
        <v>286</v>
      </c>
      <c r="J270" s="25" t="s">
        <v>31</v>
      </c>
      <c r="K270" s="25" t="s">
        <v>101</v>
      </c>
      <c r="L270" s="26">
        <f>O270</f>
        <v>0</v>
      </c>
      <c r="M270" s="26">
        <v>603.6</v>
      </c>
      <c r="N270" s="26">
        <v>603.6</v>
      </c>
      <c r="O270" s="26"/>
      <c r="P270" s="26"/>
      <c r="Q270" s="26"/>
      <c r="R270" s="26"/>
      <c r="S270" s="26"/>
      <c r="T270" s="27">
        <v>300</v>
      </c>
    </row>
    <row r="271" spans="1:20" s="53" customFormat="1" ht="78.75">
      <c r="A271" s="21">
        <v>801</v>
      </c>
      <c r="B271" s="22">
        <v>30101000</v>
      </c>
      <c r="C271" s="29" t="s">
        <v>28</v>
      </c>
      <c r="D271" s="30" t="s">
        <v>326</v>
      </c>
      <c r="E271" s="21"/>
      <c r="F271" s="24">
        <v>40544</v>
      </c>
      <c r="G271" s="25" t="s">
        <v>323</v>
      </c>
      <c r="H271" s="25" t="s">
        <v>155</v>
      </c>
      <c r="I271" s="25" t="s">
        <v>327</v>
      </c>
      <c r="J271" s="25" t="s">
        <v>31</v>
      </c>
      <c r="K271" s="25" t="s">
        <v>56</v>
      </c>
      <c r="L271" s="26">
        <f>O271</f>
        <v>10</v>
      </c>
      <c r="M271" s="26">
        <v>6.16</v>
      </c>
      <c r="N271" s="26">
        <v>6.16</v>
      </c>
      <c r="O271" s="26">
        <v>10</v>
      </c>
      <c r="P271" s="26">
        <v>0</v>
      </c>
      <c r="Q271" s="26">
        <v>0</v>
      </c>
      <c r="R271" s="26">
        <v>0</v>
      </c>
      <c r="S271" s="26">
        <f>R271</f>
        <v>0</v>
      </c>
      <c r="T271" s="27">
        <v>300</v>
      </c>
    </row>
    <row r="272" spans="1:20" s="53" customFormat="1" ht="22.5">
      <c r="A272" s="21">
        <v>801</v>
      </c>
      <c r="B272" s="22">
        <v>30101000</v>
      </c>
      <c r="C272" s="29" t="s">
        <v>28</v>
      </c>
      <c r="D272" s="23"/>
      <c r="E272" s="21"/>
      <c r="F272" s="24"/>
      <c r="G272" s="25" t="s">
        <v>323</v>
      </c>
      <c r="H272" s="25" t="s">
        <v>155</v>
      </c>
      <c r="I272" s="25" t="s">
        <v>327</v>
      </c>
      <c r="J272" s="25" t="s">
        <v>31</v>
      </c>
      <c r="K272" s="25" t="s">
        <v>60</v>
      </c>
      <c r="L272" s="26">
        <f>O272</f>
        <v>40</v>
      </c>
      <c r="M272" s="26">
        <v>28.37</v>
      </c>
      <c r="N272" s="26">
        <v>28.37</v>
      </c>
      <c r="O272" s="26">
        <v>40</v>
      </c>
      <c r="P272" s="26">
        <v>0</v>
      </c>
      <c r="Q272" s="26">
        <v>0</v>
      </c>
      <c r="R272" s="26">
        <v>0</v>
      </c>
      <c r="S272" s="26">
        <f>R272</f>
        <v>0</v>
      </c>
      <c r="T272" s="27">
        <v>300</v>
      </c>
    </row>
    <row r="273" spans="1:20" s="53" customFormat="1" ht="22.5">
      <c r="A273" s="21">
        <v>801</v>
      </c>
      <c r="B273" s="22">
        <v>30101000</v>
      </c>
      <c r="C273" s="29" t="s">
        <v>28</v>
      </c>
      <c r="D273" s="23"/>
      <c r="E273" s="21"/>
      <c r="F273" s="24"/>
      <c r="G273" s="25" t="s">
        <v>323</v>
      </c>
      <c r="H273" s="25" t="s">
        <v>155</v>
      </c>
      <c r="I273" s="25" t="s">
        <v>327</v>
      </c>
      <c r="J273" s="25" t="s">
        <v>31</v>
      </c>
      <c r="K273" s="25" t="s">
        <v>32</v>
      </c>
      <c r="L273" s="26">
        <f>O273</f>
        <v>20</v>
      </c>
      <c r="M273" s="26">
        <v>34.660000000000004</v>
      </c>
      <c r="N273" s="26">
        <v>34.660000000000004</v>
      </c>
      <c r="O273" s="26">
        <v>20</v>
      </c>
      <c r="P273" s="26">
        <v>0</v>
      </c>
      <c r="Q273" s="26">
        <v>0</v>
      </c>
      <c r="R273" s="26">
        <v>0</v>
      </c>
      <c r="S273" s="26">
        <f>R273</f>
        <v>0</v>
      </c>
      <c r="T273" s="27">
        <v>300</v>
      </c>
    </row>
    <row r="274" spans="1:20" s="53" customFormat="1" ht="22.5">
      <c r="A274" s="21">
        <v>801</v>
      </c>
      <c r="B274" s="22">
        <v>30101000</v>
      </c>
      <c r="C274" s="29" t="s">
        <v>28</v>
      </c>
      <c r="D274" s="23"/>
      <c r="E274" s="21"/>
      <c r="F274" s="24"/>
      <c r="G274" s="25" t="s">
        <v>323</v>
      </c>
      <c r="H274" s="25" t="s">
        <v>155</v>
      </c>
      <c r="I274" s="25" t="s">
        <v>327</v>
      </c>
      <c r="J274" s="25" t="s">
        <v>31</v>
      </c>
      <c r="K274" s="25" t="s">
        <v>34</v>
      </c>
      <c r="L274" s="26">
        <f>O274</f>
        <v>20</v>
      </c>
      <c r="M274" s="26">
        <v>30.810000000000002</v>
      </c>
      <c r="N274" s="26">
        <v>30.810000000000002</v>
      </c>
      <c r="O274" s="26">
        <v>20</v>
      </c>
      <c r="P274" s="26">
        <v>0</v>
      </c>
      <c r="Q274" s="26">
        <v>0</v>
      </c>
      <c r="R274" s="26">
        <v>0</v>
      </c>
      <c r="S274" s="26">
        <f>R274</f>
        <v>0</v>
      </c>
      <c r="T274" s="27">
        <v>300</v>
      </c>
    </row>
    <row r="275" spans="1:20" s="53" customFormat="1" ht="90">
      <c r="A275" s="21">
        <v>801</v>
      </c>
      <c r="B275" s="22">
        <v>30101000</v>
      </c>
      <c r="C275" s="29" t="s">
        <v>28</v>
      </c>
      <c r="D275" s="23" t="s">
        <v>292</v>
      </c>
      <c r="E275" s="21"/>
      <c r="F275" s="24"/>
      <c r="G275" s="25" t="s">
        <v>158</v>
      </c>
      <c r="H275" s="25" t="s">
        <v>149</v>
      </c>
      <c r="I275" s="25" t="s">
        <v>293</v>
      </c>
      <c r="J275" s="25" t="s">
        <v>63</v>
      </c>
      <c r="K275" s="25" t="s">
        <v>60</v>
      </c>
      <c r="L275" s="26">
        <f aca="true" t="shared" si="12" ref="L275:L309">O275</f>
        <v>7.2</v>
      </c>
      <c r="M275" s="26">
        <v>6.61</v>
      </c>
      <c r="N275" s="26">
        <v>6.61</v>
      </c>
      <c r="O275" s="26">
        <v>7.2</v>
      </c>
      <c r="P275" s="26">
        <v>1.62</v>
      </c>
      <c r="Q275" s="26">
        <v>7.2</v>
      </c>
      <c r="R275" s="26">
        <v>7.2</v>
      </c>
      <c r="S275" s="26">
        <f aca="true" t="shared" si="13" ref="S275:S309">R275</f>
        <v>7.2</v>
      </c>
      <c r="T275" s="27">
        <v>300</v>
      </c>
    </row>
    <row r="276" spans="1:20" s="53" customFormat="1" ht="22.5">
      <c r="A276" s="21">
        <v>801</v>
      </c>
      <c r="B276" s="22">
        <v>30101000</v>
      </c>
      <c r="C276" s="29" t="s">
        <v>28</v>
      </c>
      <c r="D276" s="23"/>
      <c r="E276" s="21"/>
      <c r="F276" s="24"/>
      <c r="G276" s="25" t="s">
        <v>158</v>
      </c>
      <c r="H276" s="25" t="s">
        <v>149</v>
      </c>
      <c r="I276" s="25" t="s">
        <v>293</v>
      </c>
      <c r="J276" s="25" t="s">
        <v>63</v>
      </c>
      <c r="K276" s="25" t="s">
        <v>294</v>
      </c>
      <c r="L276" s="26">
        <f t="shared" si="12"/>
        <v>6546.7</v>
      </c>
      <c r="M276" s="26">
        <v>5382.07</v>
      </c>
      <c r="N276" s="26">
        <v>5382.07</v>
      </c>
      <c r="O276" s="26">
        <v>6546.7</v>
      </c>
      <c r="P276" s="26">
        <v>1443.22</v>
      </c>
      <c r="Q276" s="26">
        <v>7324.7</v>
      </c>
      <c r="R276" s="26">
        <v>7324.7</v>
      </c>
      <c r="S276" s="26">
        <f t="shared" si="13"/>
        <v>7324.7</v>
      </c>
      <c r="T276" s="27">
        <v>300</v>
      </c>
    </row>
    <row r="277" spans="1:20" s="53" customFormat="1" ht="33.75">
      <c r="A277" s="21">
        <v>801</v>
      </c>
      <c r="B277" s="22">
        <v>30101000</v>
      </c>
      <c r="C277" s="29" t="s">
        <v>28</v>
      </c>
      <c r="D277" s="23" t="s">
        <v>295</v>
      </c>
      <c r="E277" s="21"/>
      <c r="F277" s="24">
        <v>37593</v>
      </c>
      <c r="G277" s="25" t="s">
        <v>158</v>
      </c>
      <c r="H277" s="25" t="s">
        <v>153</v>
      </c>
      <c r="I277" s="25" t="s">
        <v>296</v>
      </c>
      <c r="J277" s="25" t="s">
        <v>297</v>
      </c>
      <c r="K277" s="25" t="s">
        <v>137</v>
      </c>
      <c r="L277" s="26">
        <f t="shared" si="12"/>
        <v>0</v>
      </c>
      <c r="M277" s="26">
        <v>2995.64</v>
      </c>
      <c r="N277" s="26">
        <v>2995.64</v>
      </c>
      <c r="O277" s="26">
        <v>0</v>
      </c>
      <c r="P277" s="26">
        <v>0</v>
      </c>
      <c r="Q277" s="26">
        <v>0</v>
      </c>
      <c r="R277" s="26">
        <v>0</v>
      </c>
      <c r="S277" s="26">
        <f t="shared" si="13"/>
        <v>0</v>
      </c>
      <c r="T277" s="27">
        <v>300</v>
      </c>
    </row>
    <row r="278" spans="1:20" s="53" customFormat="1" ht="22.5">
      <c r="A278" s="21">
        <v>801</v>
      </c>
      <c r="B278" s="22">
        <v>30101000</v>
      </c>
      <c r="C278" s="29" t="s">
        <v>28</v>
      </c>
      <c r="D278" s="23"/>
      <c r="E278" s="21"/>
      <c r="F278" s="24"/>
      <c r="G278" s="25" t="s">
        <v>158</v>
      </c>
      <c r="H278" s="25" t="s">
        <v>153</v>
      </c>
      <c r="I278" s="25" t="s">
        <v>298</v>
      </c>
      <c r="J278" s="25" t="s">
        <v>297</v>
      </c>
      <c r="K278" s="25" t="s">
        <v>137</v>
      </c>
      <c r="L278" s="26">
        <f t="shared" si="12"/>
        <v>0</v>
      </c>
      <c r="M278" s="26">
        <v>1763.4</v>
      </c>
      <c r="N278" s="26">
        <v>1720.8600000000001</v>
      </c>
      <c r="O278" s="26">
        <v>0</v>
      </c>
      <c r="P278" s="26">
        <v>0</v>
      </c>
      <c r="Q278" s="26">
        <v>0</v>
      </c>
      <c r="R278" s="26">
        <v>0</v>
      </c>
      <c r="S278" s="26">
        <f t="shared" si="13"/>
        <v>0</v>
      </c>
      <c r="T278" s="27">
        <v>300</v>
      </c>
    </row>
    <row r="279" spans="1:20" s="53" customFormat="1" ht="45">
      <c r="A279" s="21">
        <v>801</v>
      </c>
      <c r="B279" s="22">
        <v>30101000</v>
      </c>
      <c r="C279" s="29" t="s">
        <v>28</v>
      </c>
      <c r="D279" s="23" t="s">
        <v>299</v>
      </c>
      <c r="E279" s="21"/>
      <c r="F279" s="24"/>
      <c r="G279" s="25" t="s">
        <v>158</v>
      </c>
      <c r="H279" s="25" t="s">
        <v>153</v>
      </c>
      <c r="I279" s="25" t="s">
        <v>300</v>
      </c>
      <c r="J279" s="25" t="s">
        <v>301</v>
      </c>
      <c r="K279" s="25" t="s">
        <v>137</v>
      </c>
      <c r="L279" s="26">
        <f t="shared" si="12"/>
        <v>167.94</v>
      </c>
      <c r="M279" s="26">
        <v>335.88</v>
      </c>
      <c r="N279" s="26">
        <v>167.94</v>
      </c>
      <c r="O279" s="26">
        <v>167.94</v>
      </c>
      <c r="P279" s="26">
        <v>0</v>
      </c>
      <c r="Q279" s="26">
        <v>0</v>
      </c>
      <c r="R279" s="26">
        <v>0</v>
      </c>
      <c r="S279" s="26">
        <f t="shared" si="13"/>
        <v>0</v>
      </c>
      <c r="T279" s="27">
        <v>300</v>
      </c>
    </row>
    <row r="280" spans="1:20" s="53" customFormat="1" ht="33.75">
      <c r="A280" s="21"/>
      <c r="B280" s="22">
        <v>30101000</v>
      </c>
      <c r="C280" s="29" t="s">
        <v>28</v>
      </c>
      <c r="D280" s="23" t="s">
        <v>295</v>
      </c>
      <c r="E280" s="21"/>
      <c r="F280" s="24">
        <v>37593</v>
      </c>
      <c r="G280" s="25" t="s">
        <v>158</v>
      </c>
      <c r="H280" s="25" t="s">
        <v>153</v>
      </c>
      <c r="I280" s="25" t="s">
        <v>302</v>
      </c>
      <c r="J280" s="25" t="s">
        <v>297</v>
      </c>
      <c r="K280" s="25" t="s">
        <v>137</v>
      </c>
      <c r="L280" s="26">
        <f t="shared" si="12"/>
        <v>3833.3</v>
      </c>
      <c r="M280" s="26">
        <v>0</v>
      </c>
      <c r="N280" s="26">
        <v>0</v>
      </c>
      <c r="O280" s="26">
        <v>3833.3</v>
      </c>
      <c r="P280" s="26">
        <v>0</v>
      </c>
      <c r="Q280" s="26">
        <v>3833.3</v>
      </c>
      <c r="R280" s="26">
        <v>2991.6</v>
      </c>
      <c r="S280" s="26">
        <f t="shared" si="13"/>
        <v>2991.6</v>
      </c>
      <c r="T280" s="27">
        <v>300</v>
      </c>
    </row>
    <row r="281" spans="1:20" s="53" customFormat="1" ht="22.5">
      <c r="A281" s="21">
        <v>801</v>
      </c>
      <c r="B281" s="22">
        <v>30101000</v>
      </c>
      <c r="C281" s="29" t="s">
        <v>28</v>
      </c>
      <c r="D281" s="23"/>
      <c r="E281" s="21"/>
      <c r="F281" s="24"/>
      <c r="G281" s="25" t="s">
        <v>158</v>
      </c>
      <c r="H281" s="25" t="s">
        <v>153</v>
      </c>
      <c r="I281" s="25" t="s">
        <v>303</v>
      </c>
      <c r="J281" s="25" t="s">
        <v>267</v>
      </c>
      <c r="K281" s="25" t="s">
        <v>60</v>
      </c>
      <c r="L281" s="26">
        <f t="shared" si="12"/>
        <v>6</v>
      </c>
      <c r="M281" s="26">
        <v>6</v>
      </c>
      <c r="N281" s="26">
        <v>6</v>
      </c>
      <c r="O281" s="26">
        <v>6</v>
      </c>
      <c r="P281" s="26">
        <v>0</v>
      </c>
      <c r="Q281" s="26">
        <v>6</v>
      </c>
      <c r="R281" s="26">
        <v>6</v>
      </c>
      <c r="S281" s="26">
        <f t="shared" si="13"/>
        <v>6</v>
      </c>
      <c r="T281" s="27">
        <v>300</v>
      </c>
    </row>
    <row r="282" spans="1:20" s="53" customFormat="1" ht="22.5">
      <c r="A282" s="21">
        <v>801</v>
      </c>
      <c r="B282" s="22">
        <v>30101000</v>
      </c>
      <c r="C282" s="29" t="s">
        <v>28</v>
      </c>
      <c r="D282" s="23"/>
      <c r="E282" s="21"/>
      <c r="F282" s="24"/>
      <c r="G282" s="25" t="s">
        <v>158</v>
      </c>
      <c r="H282" s="25" t="s">
        <v>153</v>
      </c>
      <c r="I282" s="25" t="s">
        <v>303</v>
      </c>
      <c r="J282" s="25" t="s">
        <v>63</v>
      </c>
      <c r="K282" s="25" t="s">
        <v>137</v>
      </c>
      <c r="L282" s="26">
        <f t="shared" si="12"/>
        <v>150</v>
      </c>
      <c r="M282" s="26">
        <v>150</v>
      </c>
      <c r="N282" s="26">
        <v>150</v>
      </c>
      <c r="O282" s="26">
        <v>150</v>
      </c>
      <c r="P282" s="26">
        <v>36</v>
      </c>
      <c r="Q282" s="26">
        <v>150</v>
      </c>
      <c r="R282" s="26">
        <v>150</v>
      </c>
      <c r="S282" s="26">
        <f t="shared" si="13"/>
        <v>150</v>
      </c>
      <c r="T282" s="27">
        <v>300</v>
      </c>
    </row>
    <row r="283" spans="1:20" s="53" customFormat="1" ht="22.5">
      <c r="A283" s="21"/>
      <c r="B283" s="22">
        <v>30101000</v>
      </c>
      <c r="C283" s="29" t="s">
        <v>28</v>
      </c>
      <c r="D283" s="23"/>
      <c r="E283" s="21"/>
      <c r="F283" s="24"/>
      <c r="G283" s="25" t="s">
        <v>158</v>
      </c>
      <c r="H283" s="25" t="s">
        <v>153</v>
      </c>
      <c r="I283" s="25" t="s">
        <v>303</v>
      </c>
      <c r="J283" s="25" t="s">
        <v>267</v>
      </c>
      <c r="K283" s="25" t="s">
        <v>294</v>
      </c>
      <c r="L283" s="26">
        <f t="shared" si="12"/>
        <v>72</v>
      </c>
      <c r="M283" s="26">
        <v>72</v>
      </c>
      <c r="N283" s="26">
        <v>72</v>
      </c>
      <c r="O283" s="26">
        <v>72</v>
      </c>
      <c r="P283" s="26">
        <v>18</v>
      </c>
      <c r="Q283" s="26">
        <v>72</v>
      </c>
      <c r="R283" s="26">
        <v>72</v>
      </c>
      <c r="S283" s="26">
        <f t="shared" si="13"/>
        <v>72</v>
      </c>
      <c r="T283" s="27"/>
    </row>
    <row r="284" spans="1:20" s="53" customFormat="1" ht="22.5">
      <c r="A284" s="21">
        <v>801</v>
      </c>
      <c r="B284" s="22">
        <v>30101000</v>
      </c>
      <c r="C284" s="29" t="s">
        <v>28</v>
      </c>
      <c r="D284" s="23"/>
      <c r="E284" s="21"/>
      <c r="F284" s="24"/>
      <c r="G284" s="25" t="s">
        <v>158</v>
      </c>
      <c r="H284" s="25" t="s">
        <v>153</v>
      </c>
      <c r="I284" s="25" t="s">
        <v>303</v>
      </c>
      <c r="J284" s="25" t="s">
        <v>267</v>
      </c>
      <c r="K284" s="25" t="s">
        <v>32</v>
      </c>
      <c r="L284" s="26">
        <f t="shared" si="12"/>
        <v>12</v>
      </c>
      <c r="M284" s="26">
        <v>12</v>
      </c>
      <c r="N284" s="26">
        <v>12</v>
      </c>
      <c r="O284" s="26">
        <v>12</v>
      </c>
      <c r="P284" s="26">
        <v>0</v>
      </c>
      <c r="Q284" s="26">
        <v>12</v>
      </c>
      <c r="R284" s="26">
        <v>12</v>
      </c>
      <c r="S284" s="26">
        <f t="shared" si="13"/>
        <v>12</v>
      </c>
      <c r="T284" s="27">
        <v>300</v>
      </c>
    </row>
    <row r="285" spans="1:20" s="53" customFormat="1" ht="56.25">
      <c r="A285" s="21">
        <v>801</v>
      </c>
      <c r="B285" s="22">
        <v>30101000</v>
      </c>
      <c r="C285" s="29" t="s">
        <v>28</v>
      </c>
      <c r="D285" s="23" t="s">
        <v>304</v>
      </c>
      <c r="E285" s="21"/>
      <c r="F285" s="24">
        <v>39814</v>
      </c>
      <c r="G285" s="25" t="s">
        <v>158</v>
      </c>
      <c r="H285" s="25" t="s">
        <v>153</v>
      </c>
      <c r="I285" s="25" t="s">
        <v>305</v>
      </c>
      <c r="J285" s="25" t="s">
        <v>306</v>
      </c>
      <c r="K285" s="25" t="s">
        <v>137</v>
      </c>
      <c r="L285" s="26">
        <f t="shared" si="12"/>
        <v>420</v>
      </c>
      <c r="M285" s="26">
        <v>403.1</v>
      </c>
      <c r="N285" s="26">
        <v>201.528</v>
      </c>
      <c r="O285" s="26">
        <v>420</v>
      </c>
      <c r="P285" s="26">
        <v>0</v>
      </c>
      <c r="Q285" s="26">
        <v>0</v>
      </c>
      <c r="R285" s="26">
        <v>0</v>
      </c>
      <c r="S285" s="26">
        <f t="shared" si="13"/>
        <v>0</v>
      </c>
      <c r="T285" s="27">
        <v>300</v>
      </c>
    </row>
    <row r="286" spans="1:20" s="53" customFormat="1" ht="56.25">
      <c r="A286" s="21">
        <v>801</v>
      </c>
      <c r="B286" s="22">
        <v>30101000</v>
      </c>
      <c r="C286" s="29" t="s">
        <v>28</v>
      </c>
      <c r="D286" s="23" t="s">
        <v>307</v>
      </c>
      <c r="E286" s="21"/>
      <c r="F286" s="24"/>
      <c r="G286" s="25" t="s">
        <v>158</v>
      </c>
      <c r="H286" s="25" t="s">
        <v>153</v>
      </c>
      <c r="I286" s="25" t="s">
        <v>308</v>
      </c>
      <c r="J286" s="25" t="s">
        <v>309</v>
      </c>
      <c r="K286" s="25" t="s">
        <v>137</v>
      </c>
      <c r="L286" s="26">
        <f t="shared" si="12"/>
        <v>280</v>
      </c>
      <c r="M286" s="26">
        <v>319.1</v>
      </c>
      <c r="N286" s="26">
        <v>319.06</v>
      </c>
      <c r="O286" s="26">
        <v>280</v>
      </c>
      <c r="P286" s="26">
        <v>0</v>
      </c>
      <c r="Q286" s="26">
        <v>0</v>
      </c>
      <c r="R286" s="26">
        <v>0</v>
      </c>
      <c r="S286" s="26">
        <f t="shared" si="13"/>
        <v>0</v>
      </c>
      <c r="T286" s="27">
        <v>300</v>
      </c>
    </row>
    <row r="287" spans="1:20" s="53" customFormat="1" ht="22.5">
      <c r="A287" s="21">
        <v>801</v>
      </c>
      <c r="B287" s="22">
        <v>30101000</v>
      </c>
      <c r="C287" s="29" t="s">
        <v>28</v>
      </c>
      <c r="D287" s="23"/>
      <c r="E287" s="21"/>
      <c r="F287" s="24"/>
      <c r="G287" s="25" t="s">
        <v>158</v>
      </c>
      <c r="H287" s="25" t="s">
        <v>153</v>
      </c>
      <c r="I287" s="25" t="s">
        <v>308</v>
      </c>
      <c r="J287" s="25" t="s">
        <v>306</v>
      </c>
      <c r="K287" s="25" t="s">
        <v>137</v>
      </c>
      <c r="L287" s="26">
        <f t="shared" si="12"/>
        <v>220</v>
      </c>
      <c r="M287" s="26">
        <v>212.5</v>
      </c>
      <c r="N287" s="26">
        <v>183.28</v>
      </c>
      <c r="O287" s="26">
        <v>220</v>
      </c>
      <c r="P287" s="26">
        <v>0</v>
      </c>
      <c r="Q287" s="26">
        <v>0</v>
      </c>
      <c r="R287" s="26">
        <v>0</v>
      </c>
      <c r="S287" s="26">
        <f t="shared" si="13"/>
        <v>0</v>
      </c>
      <c r="T287" s="27">
        <v>300</v>
      </c>
    </row>
    <row r="288" spans="1:20" s="53" customFormat="1" ht="67.5">
      <c r="A288" s="21">
        <v>801</v>
      </c>
      <c r="B288" s="22">
        <v>30101000</v>
      </c>
      <c r="C288" s="29" t="s">
        <v>28</v>
      </c>
      <c r="D288" s="23" t="s">
        <v>310</v>
      </c>
      <c r="E288" s="21"/>
      <c r="F288" s="24">
        <v>38353</v>
      </c>
      <c r="G288" s="25" t="s">
        <v>158</v>
      </c>
      <c r="H288" s="25" t="s">
        <v>153</v>
      </c>
      <c r="I288" s="25" t="s">
        <v>311</v>
      </c>
      <c r="J288" s="25" t="s">
        <v>306</v>
      </c>
      <c r="K288" s="25" t="s">
        <v>137</v>
      </c>
      <c r="L288" s="26">
        <f t="shared" si="12"/>
        <v>406.67</v>
      </c>
      <c r="M288" s="26">
        <v>436.66</v>
      </c>
      <c r="N288" s="26">
        <v>218.32</v>
      </c>
      <c r="O288" s="26">
        <v>406.67</v>
      </c>
      <c r="P288" s="26">
        <v>0</v>
      </c>
      <c r="Q288" s="26">
        <v>188.3</v>
      </c>
      <c r="R288" s="26">
        <v>188.3</v>
      </c>
      <c r="S288" s="26">
        <f t="shared" si="13"/>
        <v>188.3</v>
      </c>
      <c r="T288" s="27">
        <v>300</v>
      </c>
    </row>
    <row r="289" spans="1:20" s="53" customFormat="1" ht="33.75">
      <c r="A289" s="21">
        <v>801</v>
      </c>
      <c r="B289" s="22">
        <v>30101000</v>
      </c>
      <c r="C289" s="29" t="s">
        <v>28</v>
      </c>
      <c r="D289" s="23" t="s">
        <v>295</v>
      </c>
      <c r="E289" s="21"/>
      <c r="F289" s="24">
        <v>37593</v>
      </c>
      <c r="G289" s="25" t="s">
        <v>158</v>
      </c>
      <c r="H289" s="25" t="s">
        <v>153</v>
      </c>
      <c r="I289" s="25" t="s">
        <v>312</v>
      </c>
      <c r="J289" s="25" t="s">
        <v>301</v>
      </c>
      <c r="K289" s="25" t="s">
        <v>137</v>
      </c>
      <c r="L289" s="26">
        <f t="shared" si="12"/>
        <v>0</v>
      </c>
      <c r="M289" s="26">
        <v>3004.7000000000003</v>
      </c>
      <c r="N289" s="26">
        <v>2968.4700000000003</v>
      </c>
      <c r="O289" s="26">
        <v>0</v>
      </c>
      <c r="P289" s="26">
        <v>0</v>
      </c>
      <c r="Q289" s="26">
        <v>0</v>
      </c>
      <c r="R289" s="26">
        <v>0</v>
      </c>
      <c r="S289" s="26">
        <f t="shared" si="13"/>
        <v>0</v>
      </c>
      <c r="T289" s="27">
        <v>300</v>
      </c>
    </row>
    <row r="290" spans="1:20" s="53" customFormat="1" ht="22.5">
      <c r="A290" s="21">
        <v>801</v>
      </c>
      <c r="B290" s="22">
        <v>30101000</v>
      </c>
      <c r="C290" s="29" t="s">
        <v>28</v>
      </c>
      <c r="D290" s="23"/>
      <c r="E290" s="21"/>
      <c r="F290" s="24"/>
      <c r="G290" s="25" t="s">
        <v>158</v>
      </c>
      <c r="H290" s="25" t="s">
        <v>153</v>
      </c>
      <c r="I290" s="25" t="s">
        <v>312</v>
      </c>
      <c r="J290" s="25" t="s">
        <v>297</v>
      </c>
      <c r="K290" s="25" t="s">
        <v>137</v>
      </c>
      <c r="L290" s="26">
        <f t="shared" si="12"/>
        <v>0</v>
      </c>
      <c r="M290" s="26">
        <v>827.35</v>
      </c>
      <c r="N290" s="26">
        <v>827.35</v>
      </c>
      <c r="O290" s="26">
        <v>0</v>
      </c>
      <c r="P290" s="26">
        <v>0</v>
      </c>
      <c r="Q290" s="26">
        <v>0</v>
      </c>
      <c r="R290" s="26">
        <v>0</v>
      </c>
      <c r="S290" s="26">
        <f t="shared" si="13"/>
        <v>0</v>
      </c>
      <c r="T290" s="27">
        <v>300</v>
      </c>
    </row>
    <row r="291" spans="1:20" s="53" customFormat="1" ht="22.5">
      <c r="A291" s="21">
        <v>801</v>
      </c>
      <c r="B291" s="22">
        <v>30101000</v>
      </c>
      <c r="C291" s="29" t="s">
        <v>28</v>
      </c>
      <c r="D291" s="23"/>
      <c r="E291" s="21"/>
      <c r="F291" s="24"/>
      <c r="G291" s="25" t="s">
        <v>158</v>
      </c>
      <c r="H291" s="25" t="s">
        <v>153</v>
      </c>
      <c r="I291" s="25" t="s">
        <v>313</v>
      </c>
      <c r="J291" s="25" t="s">
        <v>297</v>
      </c>
      <c r="K291" s="25" t="s">
        <v>137</v>
      </c>
      <c r="L291" s="26">
        <f t="shared" si="12"/>
        <v>0</v>
      </c>
      <c r="M291" s="26">
        <v>222</v>
      </c>
      <c r="N291" s="26">
        <v>222</v>
      </c>
      <c r="O291" s="26">
        <v>0</v>
      </c>
      <c r="P291" s="26">
        <v>0</v>
      </c>
      <c r="Q291" s="26">
        <v>0</v>
      </c>
      <c r="R291" s="26">
        <v>0</v>
      </c>
      <c r="S291" s="26">
        <f t="shared" si="13"/>
        <v>0</v>
      </c>
      <c r="T291" s="27">
        <v>300</v>
      </c>
    </row>
    <row r="292" spans="1:20" s="53" customFormat="1" ht="78.75">
      <c r="A292" s="21">
        <v>801</v>
      </c>
      <c r="B292" s="22">
        <v>30101000</v>
      </c>
      <c r="C292" s="29" t="s">
        <v>28</v>
      </c>
      <c r="D292" s="23" t="s">
        <v>314</v>
      </c>
      <c r="E292" s="21"/>
      <c r="F292" s="24">
        <v>40909</v>
      </c>
      <c r="G292" s="25" t="s">
        <v>158</v>
      </c>
      <c r="H292" s="25" t="s">
        <v>153</v>
      </c>
      <c r="I292" s="25" t="s">
        <v>65</v>
      </c>
      <c r="J292" s="25" t="s">
        <v>63</v>
      </c>
      <c r="K292" s="25" t="s">
        <v>53</v>
      </c>
      <c r="L292" s="26">
        <f t="shared" si="12"/>
        <v>0</v>
      </c>
      <c r="M292" s="26">
        <v>97</v>
      </c>
      <c r="N292" s="26">
        <v>97</v>
      </c>
      <c r="O292" s="26">
        <v>0</v>
      </c>
      <c r="P292" s="26">
        <v>0</v>
      </c>
      <c r="Q292" s="26">
        <v>120</v>
      </c>
      <c r="R292" s="26">
        <v>120</v>
      </c>
      <c r="S292" s="26">
        <f t="shared" si="13"/>
        <v>120</v>
      </c>
      <c r="T292" s="27">
        <v>300</v>
      </c>
    </row>
    <row r="293" spans="1:20" s="53" customFormat="1" ht="78.75">
      <c r="A293" s="21">
        <v>801</v>
      </c>
      <c r="B293" s="22">
        <v>30101000</v>
      </c>
      <c r="C293" s="29" t="s">
        <v>28</v>
      </c>
      <c r="D293" s="23" t="s">
        <v>315</v>
      </c>
      <c r="E293" s="21"/>
      <c r="F293" s="24"/>
      <c r="G293" s="25" t="s">
        <v>158</v>
      </c>
      <c r="H293" s="25" t="s">
        <v>161</v>
      </c>
      <c r="I293" s="25" t="s">
        <v>148</v>
      </c>
      <c r="J293" s="25" t="s">
        <v>31</v>
      </c>
      <c r="K293" s="25" t="s">
        <v>53</v>
      </c>
      <c r="L293" s="26">
        <f t="shared" si="12"/>
        <v>200</v>
      </c>
      <c r="M293" s="26">
        <v>0.3</v>
      </c>
      <c r="N293" s="26">
        <v>0</v>
      </c>
      <c r="O293" s="26">
        <v>200</v>
      </c>
      <c r="P293" s="26">
        <v>0</v>
      </c>
      <c r="Q293" s="26">
        <v>0</v>
      </c>
      <c r="R293" s="26">
        <v>0</v>
      </c>
      <c r="S293" s="26">
        <f t="shared" si="13"/>
        <v>0</v>
      </c>
      <c r="T293" s="27">
        <v>300</v>
      </c>
    </row>
    <row r="294" spans="1:20" s="53" customFormat="1" ht="22.5">
      <c r="A294" s="21">
        <v>801</v>
      </c>
      <c r="B294" s="22">
        <v>30101000</v>
      </c>
      <c r="C294" s="29" t="s">
        <v>28</v>
      </c>
      <c r="D294" s="23"/>
      <c r="E294" s="21"/>
      <c r="F294" s="24"/>
      <c r="G294" s="25" t="s">
        <v>158</v>
      </c>
      <c r="H294" s="25" t="s">
        <v>161</v>
      </c>
      <c r="I294" s="25" t="s">
        <v>303</v>
      </c>
      <c r="J294" s="25" t="s">
        <v>267</v>
      </c>
      <c r="K294" s="25" t="s">
        <v>58</v>
      </c>
      <c r="L294" s="26">
        <f t="shared" si="12"/>
        <v>0</v>
      </c>
      <c r="M294" s="26">
        <v>70</v>
      </c>
      <c r="N294" s="26">
        <v>70</v>
      </c>
      <c r="O294" s="26">
        <v>0</v>
      </c>
      <c r="P294" s="26">
        <v>0</v>
      </c>
      <c r="Q294" s="26">
        <v>0</v>
      </c>
      <c r="R294" s="26">
        <v>0</v>
      </c>
      <c r="S294" s="26">
        <f t="shared" si="13"/>
        <v>0</v>
      </c>
      <c r="T294" s="27">
        <v>300</v>
      </c>
    </row>
    <row r="295" spans="1:20" s="53" customFormat="1" ht="22.5">
      <c r="A295" s="21"/>
      <c r="B295" s="22">
        <v>30101000</v>
      </c>
      <c r="C295" s="29" t="s">
        <v>28</v>
      </c>
      <c r="D295" s="23"/>
      <c r="E295" s="21"/>
      <c r="F295" s="24"/>
      <c r="G295" s="25" t="s">
        <v>158</v>
      </c>
      <c r="H295" s="25" t="s">
        <v>161</v>
      </c>
      <c r="I295" s="25" t="s">
        <v>303</v>
      </c>
      <c r="J295" s="25" t="s">
        <v>267</v>
      </c>
      <c r="K295" s="25" t="s">
        <v>59</v>
      </c>
      <c r="L295" s="26">
        <f t="shared" si="12"/>
        <v>0</v>
      </c>
      <c r="M295" s="26">
        <v>1.09</v>
      </c>
      <c r="N295" s="26">
        <v>1.09</v>
      </c>
      <c r="O295" s="26">
        <v>0</v>
      </c>
      <c r="P295" s="26">
        <v>0</v>
      </c>
      <c r="Q295" s="26">
        <v>0</v>
      </c>
      <c r="R295" s="26">
        <v>0</v>
      </c>
      <c r="S295" s="26">
        <f t="shared" si="13"/>
        <v>0</v>
      </c>
      <c r="T295" s="27">
        <v>300</v>
      </c>
    </row>
    <row r="296" spans="1:20" s="53" customFormat="1" ht="22.5">
      <c r="A296" s="21">
        <v>801</v>
      </c>
      <c r="B296" s="22">
        <v>30101000</v>
      </c>
      <c r="C296" s="29" t="s">
        <v>28</v>
      </c>
      <c r="D296" s="23"/>
      <c r="E296" s="21"/>
      <c r="F296" s="24"/>
      <c r="G296" s="25" t="s">
        <v>158</v>
      </c>
      <c r="H296" s="25" t="s">
        <v>161</v>
      </c>
      <c r="I296" s="25" t="s">
        <v>303</v>
      </c>
      <c r="J296" s="25" t="s">
        <v>267</v>
      </c>
      <c r="K296" s="25" t="s">
        <v>60</v>
      </c>
      <c r="L296" s="26">
        <f t="shared" si="12"/>
        <v>0</v>
      </c>
      <c r="M296" s="26">
        <v>138</v>
      </c>
      <c r="N296" s="26">
        <v>138</v>
      </c>
      <c r="O296" s="26">
        <v>0</v>
      </c>
      <c r="P296" s="26">
        <v>0</v>
      </c>
      <c r="Q296" s="26">
        <v>0</v>
      </c>
      <c r="R296" s="26">
        <v>0</v>
      </c>
      <c r="S296" s="26">
        <f t="shared" si="13"/>
        <v>0</v>
      </c>
      <c r="T296" s="27">
        <v>300</v>
      </c>
    </row>
    <row r="297" spans="1:20" s="53" customFormat="1" ht="22.5">
      <c r="A297" s="21">
        <v>801</v>
      </c>
      <c r="B297" s="22">
        <v>30101000</v>
      </c>
      <c r="C297" s="29" t="s">
        <v>28</v>
      </c>
      <c r="D297" s="23"/>
      <c r="E297" s="21"/>
      <c r="F297" s="24"/>
      <c r="G297" s="25" t="s">
        <v>158</v>
      </c>
      <c r="H297" s="25" t="s">
        <v>161</v>
      </c>
      <c r="I297" s="25" t="s">
        <v>303</v>
      </c>
      <c r="J297" s="25" t="s">
        <v>267</v>
      </c>
      <c r="K297" s="25" t="s">
        <v>32</v>
      </c>
      <c r="L297" s="26">
        <f t="shared" si="12"/>
        <v>342</v>
      </c>
      <c r="M297" s="26">
        <v>38.2</v>
      </c>
      <c r="N297" s="26">
        <v>34</v>
      </c>
      <c r="O297" s="26">
        <v>342</v>
      </c>
      <c r="P297" s="26">
        <v>25</v>
      </c>
      <c r="Q297" s="26">
        <v>270</v>
      </c>
      <c r="R297" s="26">
        <v>270</v>
      </c>
      <c r="S297" s="26">
        <f t="shared" si="13"/>
        <v>270</v>
      </c>
      <c r="T297" s="27">
        <v>300</v>
      </c>
    </row>
    <row r="298" spans="1:20" s="53" customFormat="1" ht="22.5">
      <c r="A298" s="21">
        <v>801</v>
      </c>
      <c r="B298" s="22">
        <v>30101000</v>
      </c>
      <c r="C298" s="29" t="s">
        <v>28</v>
      </c>
      <c r="D298" s="23"/>
      <c r="E298" s="21"/>
      <c r="F298" s="24"/>
      <c r="G298" s="25" t="s">
        <v>158</v>
      </c>
      <c r="H298" s="25" t="s">
        <v>161</v>
      </c>
      <c r="I298" s="25" t="s">
        <v>303</v>
      </c>
      <c r="J298" s="25" t="s">
        <v>267</v>
      </c>
      <c r="K298" s="25" t="s">
        <v>34</v>
      </c>
      <c r="L298" s="26">
        <f t="shared" si="12"/>
        <v>0</v>
      </c>
      <c r="M298" s="26">
        <v>71.71000000000001</v>
      </c>
      <c r="N298" s="26">
        <v>68.7</v>
      </c>
      <c r="O298" s="26">
        <v>0</v>
      </c>
      <c r="P298" s="26">
        <v>0</v>
      </c>
      <c r="Q298" s="26"/>
      <c r="R298" s="26"/>
      <c r="S298" s="26">
        <f t="shared" si="13"/>
        <v>0</v>
      </c>
      <c r="T298" s="27">
        <v>300</v>
      </c>
    </row>
    <row r="299" spans="1:20" s="53" customFormat="1" ht="56.25">
      <c r="A299" s="21">
        <v>801</v>
      </c>
      <c r="B299" s="22">
        <v>30102000</v>
      </c>
      <c r="C299" s="33" t="s">
        <v>214</v>
      </c>
      <c r="D299" s="30" t="s">
        <v>317</v>
      </c>
      <c r="E299" s="21"/>
      <c r="F299" s="24">
        <v>39797</v>
      </c>
      <c r="G299" s="25" t="s">
        <v>149</v>
      </c>
      <c r="H299" s="25" t="s">
        <v>150</v>
      </c>
      <c r="I299" s="25" t="s">
        <v>318</v>
      </c>
      <c r="J299" s="25" t="s">
        <v>73</v>
      </c>
      <c r="K299" s="25" t="s">
        <v>39</v>
      </c>
      <c r="L299" s="26">
        <f t="shared" si="12"/>
        <v>4620</v>
      </c>
      <c r="M299" s="26">
        <v>4173.32</v>
      </c>
      <c r="N299" s="26">
        <v>4173.32</v>
      </c>
      <c r="O299" s="26">
        <v>4620</v>
      </c>
      <c r="P299" s="26">
        <v>1160.63</v>
      </c>
      <c r="Q299" s="26">
        <v>4620</v>
      </c>
      <c r="R299" s="26">
        <v>4620</v>
      </c>
      <c r="S299" s="26">
        <f t="shared" si="13"/>
        <v>4620</v>
      </c>
      <c r="T299" s="27">
        <v>300</v>
      </c>
    </row>
    <row r="300" spans="1:20" s="53" customFormat="1" ht="90">
      <c r="A300" s="21">
        <v>801</v>
      </c>
      <c r="B300" s="22">
        <v>30102000</v>
      </c>
      <c r="C300" s="33" t="s">
        <v>214</v>
      </c>
      <c r="D300" s="30" t="s">
        <v>190</v>
      </c>
      <c r="E300" s="21"/>
      <c r="F300" s="24">
        <v>40544</v>
      </c>
      <c r="G300" s="25" t="s">
        <v>149</v>
      </c>
      <c r="H300" s="25" t="s">
        <v>150</v>
      </c>
      <c r="I300" s="25" t="s">
        <v>78</v>
      </c>
      <c r="J300" s="25" t="s">
        <v>38</v>
      </c>
      <c r="K300" s="25" t="s">
        <v>39</v>
      </c>
      <c r="L300" s="26">
        <f t="shared" si="12"/>
        <v>140</v>
      </c>
      <c r="M300" s="26">
        <v>170</v>
      </c>
      <c r="N300" s="26">
        <v>170</v>
      </c>
      <c r="O300" s="26">
        <v>140</v>
      </c>
      <c r="P300" s="26">
        <v>0</v>
      </c>
      <c r="Q300" s="26">
        <v>0</v>
      </c>
      <c r="R300" s="26">
        <v>0</v>
      </c>
      <c r="S300" s="26">
        <f t="shared" si="13"/>
        <v>0</v>
      </c>
      <c r="T300" s="27">
        <v>300</v>
      </c>
    </row>
    <row r="301" spans="1:20" s="53" customFormat="1" ht="45">
      <c r="A301" s="21">
        <v>801</v>
      </c>
      <c r="B301" s="22">
        <v>30102000</v>
      </c>
      <c r="C301" s="33" t="s">
        <v>214</v>
      </c>
      <c r="D301" s="30" t="s">
        <v>319</v>
      </c>
      <c r="E301" s="21"/>
      <c r="F301" s="24">
        <v>39282</v>
      </c>
      <c r="G301" s="25" t="s">
        <v>155</v>
      </c>
      <c r="H301" s="25" t="s">
        <v>192</v>
      </c>
      <c r="I301" s="25" t="s">
        <v>320</v>
      </c>
      <c r="J301" s="25" t="s">
        <v>73</v>
      </c>
      <c r="K301" s="25" t="s">
        <v>39</v>
      </c>
      <c r="L301" s="26">
        <f t="shared" si="12"/>
        <v>4045</v>
      </c>
      <c r="M301" s="26">
        <v>6841.78</v>
      </c>
      <c r="N301" s="26">
        <v>6841.78</v>
      </c>
      <c r="O301" s="26">
        <v>4045</v>
      </c>
      <c r="P301" s="26">
        <v>800.6</v>
      </c>
      <c r="Q301" s="26">
        <v>3200</v>
      </c>
      <c r="R301" s="26">
        <v>3200</v>
      </c>
      <c r="S301" s="26">
        <f t="shared" si="13"/>
        <v>3200</v>
      </c>
      <c r="T301" s="27">
        <v>300</v>
      </c>
    </row>
    <row r="302" spans="1:20" s="53" customFormat="1" ht="112.5">
      <c r="A302" s="21">
        <v>801</v>
      </c>
      <c r="B302" s="22">
        <v>30102000</v>
      </c>
      <c r="C302" s="33" t="s">
        <v>214</v>
      </c>
      <c r="D302" s="30" t="s">
        <v>189</v>
      </c>
      <c r="E302" s="21"/>
      <c r="F302" s="24">
        <v>40847</v>
      </c>
      <c r="G302" s="25" t="s">
        <v>155</v>
      </c>
      <c r="H302" s="25" t="s">
        <v>192</v>
      </c>
      <c r="I302" s="25" t="s">
        <v>76</v>
      </c>
      <c r="J302" s="25" t="s">
        <v>38</v>
      </c>
      <c r="K302" s="25" t="s">
        <v>39</v>
      </c>
      <c r="L302" s="26">
        <f t="shared" si="12"/>
        <v>345</v>
      </c>
      <c r="M302" s="26">
        <v>0</v>
      </c>
      <c r="N302" s="26">
        <v>0</v>
      </c>
      <c r="O302" s="26">
        <v>345</v>
      </c>
      <c r="P302" s="26">
        <v>0</v>
      </c>
      <c r="Q302" s="26">
        <v>0</v>
      </c>
      <c r="R302" s="26">
        <v>0</v>
      </c>
      <c r="S302" s="26">
        <f t="shared" si="13"/>
        <v>0</v>
      </c>
      <c r="T302" s="27"/>
    </row>
    <row r="303" spans="1:20" s="53" customFormat="1" ht="90">
      <c r="A303" s="21">
        <v>801</v>
      </c>
      <c r="B303" s="22">
        <v>30102000</v>
      </c>
      <c r="C303" s="33" t="s">
        <v>214</v>
      </c>
      <c r="D303" s="30" t="s">
        <v>190</v>
      </c>
      <c r="E303" s="21"/>
      <c r="F303" s="24">
        <v>40544</v>
      </c>
      <c r="G303" s="25" t="s">
        <v>155</v>
      </c>
      <c r="H303" s="25" t="s">
        <v>192</v>
      </c>
      <c r="I303" s="25" t="s">
        <v>78</v>
      </c>
      <c r="J303" s="25" t="s">
        <v>38</v>
      </c>
      <c r="K303" s="25" t="s">
        <v>39</v>
      </c>
      <c r="L303" s="26">
        <f t="shared" si="12"/>
        <v>50</v>
      </c>
      <c r="M303" s="26">
        <v>172.6</v>
      </c>
      <c r="N303" s="26">
        <v>70.64</v>
      </c>
      <c r="O303" s="26">
        <v>50</v>
      </c>
      <c r="P303" s="26">
        <v>0</v>
      </c>
      <c r="Q303" s="26">
        <v>0</v>
      </c>
      <c r="R303" s="26">
        <v>0</v>
      </c>
      <c r="S303" s="26">
        <f t="shared" si="13"/>
        <v>0</v>
      </c>
      <c r="T303" s="27">
        <v>300</v>
      </c>
    </row>
    <row r="304" spans="1:20" s="53" customFormat="1" ht="33.75">
      <c r="A304" s="21">
        <v>801</v>
      </c>
      <c r="B304" s="22">
        <v>30102000</v>
      </c>
      <c r="C304" s="33" t="s">
        <v>214</v>
      </c>
      <c r="D304" s="23"/>
      <c r="E304" s="21"/>
      <c r="F304" s="24"/>
      <c r="G304" s="25" t="s">
        <v>155</v>
      </c>
      <c r="H304" s="25" t="s">
        <v>192</v>
      </c>
      <c r="I304" s="25" t="s">
        <v>321</v>
      </c>
      <c r="J304" s="25" t="s">
        <v>31</v>
      </c>
      <c r="K304" s="25" t="s">
        <v>60</v>
      </c>
      <c r="L304" s="26">
        <f t="shared" si="12"/>
        <v>500</v>
      </c>
      <c r="M304" s="26">
        <v>0</v>
      </c>
      <c r="N304" s="26">
        <v>0</v>
      </c>
      <c r="O304" s="26">
        <v>500</v>
      </c>
      <c r="P304" s="26">
        <v>0</v>
      </c>
      <c r="Q304" s="26">
        <v>0</v>
      </c>
      <c r="R304" s="26">
        <v>0</v>
      </c>
      <c r="S304" s="26">
        <f t="shared" si="13"/>
        <v>0</v>
      </c>
      <c r="T304" s="27">
        <v>300</v>
      </c>
    </row>
    <row r="305" spans="1:20" s="53" customFormat="1" ht="78.75">
      <c r="A305" s="21">
        <v>801</v>
      </c>
      <c r="B305" s="22">
        <v>30102000</v>
      </c>
      <c r="C305" s="33" t="s">
        <v>214</v>
      </c>
      <c r="D305" s="30" t="s">
        <v>322</v>
      </c>
      <c r="E305" s="21"/>
      <c r="F305" s="24">
        <v>41275</v>
      </c>
      <c r="G305" s="25" t="s">
        <v>157</v>
      </c>
      <c r="H305" s="25" t="s">
        <v>157</v>
      </c>
      <c r="I305" s="25" t="s">
        <v>132</v>
      </c>
      <c r="J305" s="25" t="s">
        <v>38</v>
      </c>
      <c r="K305" s="25" t="s">
        <v>39</v>
      </c>
      <c r="L305" s="26">
        <f t="shared" si="12"/>
        <v>31</v>
      </c>
      <c r="M305" s="26">
        <v>0</v>
      </c>
      <c r="N305" s="26">
        <v>0</v>
      </c>
      <c r="O305" s="26">
        <v>31</v>
      </c>
      <c r="P305" s="26">
        <v>0</v>
      </c>
      <c r="Q305" s="26">
        <v>0</v>
      </c>
      <c r="R305" s="26">
        <v>0</v>
      </c>
      <c r="S305" s="26">
        <f t="shared" si="13"/>
        <v>0</v>
      </c>
      <c r="T305" s="27">
        <v>300</v>
      </c>
    </row>
    <row r="306" spans="1:20" s="53" customFormat="1" ht="90">
      <c r="A306" s="21">
        <v>801</v>
      </c>
      <c r="B306" s="22">
        <v>30102000</v>
      </c>
      <c r="C306" s="33" t="s">
        <v>214</v>
      </c>
      <c r="D306" s="30" t="s">
        <v>190</v>
      </c>
      <c r="E306" s="21"/>
      <c r="F306" s="24">
        <v>40589</v>
      </c>
      <c r="G306" s="25" t="s">
        <v>323</v>
      </c>
      <c r="H306" s="25" t="s">
        <v>149</v>
      </c>
      <c r="I306" s="25" t="s">
        <v>78</v>
      </c>
      <c r="J306" s="25" t="s">
        <v>38</v>
      </c>
      <c r="K306" s="25" t="s">
        <v>39</v>
      </c>
      <c r="L306" s="26">
        <f t="shared" si="12"/>
        <v>169</v>
      </c>
      <c r="M306" s="26">
        <v>0</v>
      </c>
      <c r="N306" s="26">
        <v>0</v>
      </c>
      <c r="O306" s="26">
        <v>169</v>
      </c>
      <c r="P306" s="26">
        <v>0</v>
      </c>
      <c r="Q306" s="26">
        <v>0</v>
      </c>
      <c r="R306" s="26">
        <v>0</v>
      </c>
      <c r="S306" s="26">
        <f t="shared" si="13"/>
        <v>0</v>
      </c>
      <c r="T306" s="27">
        <v>300</v>
      </c>
    </row>
    <row r="307" spans="1:20" s="53" customFormat="1" ht="56.25">
      <c r="A307" s="21">
        <v>801</v>
      </c>
      <c r="B307" s="22">
        <v>30102000</v>
      </c>
      <c r="C307" s="33" t="s">
        <v>214</v>
      </c>
      <c r="D307" s="30" t="s">
        <v>324</v>
      </c>
      <c r="E307" s="21"/>
      <c r="F307" s="24">
        <v>40909</v>
      </c>
      <c r="G307" s="25" t="s">
        <v>323</v>
      </c>
      <c r="H307" s="25" t="s">
        <v>149</v>
      </c>
      <c r="I307" s="25" t="s">
        <v>325</v>
      </c>
      <c r="J307" s="25" t="s">
        <v>38</v>
      </c>
      <c r="K307" s="25" t="s">
        <v>39</v>
      </c>
      <c r="L307" s="26">
        <f t="shared" si="12"/>
        <v>100</v>
      </c>
      <c r="M307" s="26">
        <v>0</v>
      </c>
      <c r="N307" s="26">
        <v>0</v>
      </c>
      <c r="O307" s="26">
        <v>100</v>
      </c>
      <c r="P307" s="26">
        <v>0</v>
      </c>
      <c r="Q307" s="26">
        <v>67.9</v>
      </c>
      <c r="R307" s="26">
        <v>67.9</v>
      </c>
      <c r="S307" s="26">
        <f t="shared" si="13"/>
        <v>67.9</v>
      </c>
      <c r="T307" s="27">
        <v>300</v>
      </c>
    </row>
    <row r="308" spans="1:20" s="53" customFormat="1" ht="78.75">
      <c r="A308" s="21">
        <v>801</v>
      </c>
      <c r="B308" s="22">
        <v>30102000</v>
      </c>
      <c r="C308" s="33" t="s">
        <v>214</v>
      </c>
      <c r="D308" s="34" t="s">
        <v>315</v>
      </c>
      <c r="E308" s="21"/>
      <c r="F308" s="24"/>
      <c r="G308" s="25" t="s">
        <v>158</v>
      </c>
      <c r="H308" s="25" t="s">
        <v>161</v>
      </c>
      <c r="I308" s="25" t="s">
        <v>148</v>
      </c>
      <c r="J308" s="25" t="s">
        <v>38</v>
      </c>
      <c r="K308" s="25" t="s">
        <v>39</v>
      </c>
      <c r="L308" s="26">
        <f t="shared" si="12"/>
        <v>0</v>
      </c>
      <c r="M308" s="26">
        <v>123.28</v>
      </c>
      <c r="N308" s="26">
        <v>123.28</v>
      </c>
      <c r="O308" s="26">
        <v>0</v>
      </c>
      <c r="P308" s="26">
        <v>0</v>
      </c>
      <c r="Q308" s="26">
        <v>0</v>
      </c>
      <c r="R308" s="26">
        <v>0</v>
      </c>
      <c r="S308" s="26">
        <f t="shared" si="13"/>
        <v>0</v>
      </c>
      <c r="T308" s="27">
        <v>300</v>
      </c>
    </row>
    <row r="309" spans="1:20" s="53" customFormat="1" ht="56.25">
      <c r="A309" s="21">
        <v>801</v>
      </c>
      <c r="B309" s="22">
        <v>30102000</v>
      </c>
      <c r="C309" s="33" t="s">
        <v>214</v>
      </c>
      <c r="D309" s="30" t="s">
        <v>328</v>
      </c>
      <c r="E309" s="21"/>
      <c r="F309" s="24">
        <v>39814</v>
      </c>
      <c r="G309" s="25" t="s">
        <v>316</v>
      </c>
      <c r="H309" s="25" t="s">
        <v>149</v>
      </c>
      <c r="I309" s="25" t="s">
        <v>329</v>
      </c>
      <c r="J309" s="25" t="s">
        <v>73</v>
      </c>
      <c r="K309" s="25" t="s">
        <v>39</v>
      </c>
      <c r="L309" s="26">
        <f t="shared" si="12"/>
        <v>2300</v>
      </c>
      <c r="M309" s="26">
        <v>0</v>
      </c>
      <c r="N309" s="26">
        <v>0</v>
      </c>
      <c r="O309" s="26">
        <v>2300</v>
      </c>
      <c r="P309" s="26">
        <v>425</v>
      </c>
      <c r="Q309" s="26">
        <v>2000</v>
      </c>
      <c r="R309" s="26">
        <v>2000</v>
      </c>
      <c r="S309" s="26">
        <f t="shared" si="13"/>
        <v>2000</v>
      </c>
      <c r="T309" s="27">
        <v>300</v>
      </c>
    </row>
    <row r="310" spans="1:20" s="53" customFormat="1" ht="90">
      <c r="A310" s="21">
        <v>801</v>
      </c>
      <c r="B310" s="22">
        <v>30102000</v>
      </c>
      <c r="C310" s="33" t="s">
        <v>214</v>
      </c>
      <c r="D310" s="30" t="s">
        <v>190</v>
      </c>
      <c r="E310" s="21"/>
      <c r="F310" s="24">
        <v>40589</v>
      </c>
      <c r="G310" s="25" t="s">
        <v>192</v>
      </c>
      <c r="H310" s="25" t="s">
        <v>156</v>
      </c>
      <c r="I310" s="25" t="s">
        <v>78</v>
      </c>
      <c r="J310" s="25" t="s">
        <v>38</v>
      </c>
      <c r="K310" s="25" t="s">
        <v>39</v>
      </c>
      <c r="L310" s="26">
        <f>O310</f>
        <v>50</v>
      </c>
      <c r="M310" s="26">
        <v>0</v>
      </c>
      <c r="N310" s="26">
        <v>0</v>
      </c>
      <c r="O310" s="26">
        <v>50</v>
      </c>
      <c r="P310" s="26">
        <v>0</v>
      </c>
      <c r="Q310" s="26">
        <v>0</v>
      </c>
      <c r="R310" s="26">
        <v>0</v>
      </c>
      <c r="S310" s="26">
        <f>R310</f>
        <v>0</v>
      </c>
      <c r="T310" s="27">
        <v>300</v>
      </c>
    </row>
    <row r="311" spans="1:20" s="53" customFormat="1" ht="56.25">
      <c r="A311" s="21">
        <v>801</v>
      </c>
      <c r="B311" s="22">
        <v>30104000</v>
      </c>
      <c r="C311" s="28" t="s">
        <v>330</v>
      </c>
      <c r="D311" s="23"/>
      <c r="E311" s="21"/>
      <c r="F311" s="24"/>
      <c r="G311" s="25" t="s">
        <v>149</v>
      </c>
      <c r="H311" s="25" t="s">
        <v>157</v>
      </c>
      <c r="I311" s="25" t="s">
        <v>331</v>
      </c>
      <c r="J311" s="25" t="s">
        <v>31</v>
      </c>
      <c r="K311" s="25" t="s">
        <v>32</v>
      </c>
      <c r="L311" s="26">
        <f aca="true" t="shared" si="14" ref="L311:L319">O311</f>
        <v>1238.3</v>
      </c>
      <c r="M311" s="26">
        <v>0</v>
      </c>
      <c r="N311" s="26">
        <v>0</v>
      </c>
      <c r="O311" s="26">
        <v>1238.3</v>
      </c>
      <c r="P311" s="26">
        <v>0</v>
      </c>
      <c r="Q311" s="26">
        <v>0</v>
      </c>
      <c r="R311" s="26"/>
      <c r="S311" s="26">
        <f aca="true" t="shared" si="15" ref="S311:S319">R311</f>
        <v>0</v>
      </c>
      <c r="T311" s="27"/>
    </row>
    <row r="312" spans="1:20" s="53" customFormat="1" ht="56.25">
      <c r="A312" s="21">
        <v>801</v>
      </c>
      <c r="B312" s="22">
        <v>30104000</v>
      </c>
      <c r="C312" s="28" t="s">
        <v>330</v>
      </c>
      <c r="D312" s="23"/>
      <c r="E312" s="21"/>
      <c r="F312" s="24"/>
      <c r="G312" s="25" t="s">
        <v>149</v>
      </c>
      <c r="H312" s="25" t="s">
        <v>157</v>
      </c>
      <c r="I312" s="25" t="s">
        <v>332</v>
      </c>
      <c r="J312" s="25" t="s">
        <v>31</v>
      </c>
      <c r="K312" s="25" t="s">
        <v>32</v>
      </c>
      <c r="L312" s="26">
        <f t="shared" si="14"/>
        <v>1856</v>
      </c>
      <c r="M312" s="26">
        <v>0</v>
      </c>
      <c r="N312" s="26">
        <v>0</v>
      </c>
      <c r="O312" s="26">
        <v>1856</v>
      </c>
      <c r="P312" s="26">
        <v>0</v>
      </c>
      <c r="Q312" s="26">
        <v>0</v>
      </c>
      <c r="R312" s="26"/>
      <c r="S312" s="26">
        <f t="shared" si="15"/>
        <v>0</v>
      </c>
      <c r="T312" s="27"/>
    </row>
    <row r="313" spans="1:20" s="53" customFormat="1" ht="33.75">
      <c r="A313" s="21">
        <v>801</v>
      </c>
      <c r="B313" s="22">
        <v>30106000</v>
      </c>
      <c r="C313" s="28" t="s">
        <v>353</v>
      </c>
      <c r="D313" s="30" t="s">
        <v>257</v>
      </c>
      <c r="E313" s="21"/>
      <c r="F313" s="24">
        <v>38718</v>
      </c>
      <c r="G313" s="25" t="s">
        <v>192</v>
      </c>
      <c r="H313" s="25" t="s">
        <v>156</v>
      </c>
      <c r="I313" s="25" t="s">
        <v>354</v>
      </c>
      <c r="J313" s="25" t="s">
        <v>73</v>
      </c>
      <c r="K313" s="25" t="s">
        <v>39</v>
      </c>
      <c r="L313" s="26">
        <f>O313</f>
        <v>1800</v>
      </c>
      <c r="M313" s="26">
        <v>1800</v>
      </c>
      <c r="N313" s="26">
        <v>1800</v>
      </c>
      <c r="O313" s="26">
        <v>1800</v>
      </c>
      <c r="P313" s="26">
        <v>650</v>
      </c>
      <c r="Q313" s="26">
        <v>1800</v>
      </c>
      <c r="R313" s="26">
        <v>1800</v>
      </c>
      <c r="S313" s="26">
        <f t="shared" si="15"/>
        <v>1800</v>
      </c>
      <c r="T313" s="27">
        <v>300</v>
      </c>
    </row>
    <row r="314" spans="1:20" s="53" customFormat="1" ht="56.25">
      <c r="A314" s="21">
        <v>801</v>
      </c>
      <c r="B314" s="22">
        <v>30111000</v>
      </c>
      <c r="C314" s="33" t="s">
        <v>336</v>
      </c>
      <c r="D314" s="34" t="s">
        <v>337</v>
      </c>
      <c r="E314" s="21"/>
      <c r="F314" s="24">
        <v>40544</v>
      </c>
      <c r="G314" s="25" t="s">
        <v>280</v>
      </c>
      <c r="H314" s="25" t="s">
        <v>156</v>
      </c>
      <c r="I314" s="25" t="s">
        <v>338</v>
      </c>
      <c r="J314" s="25" t="s">
        <v>289</v>
      </c>
      <c r="K314" s="25" t="s">
        <v>101</v>
      </c>
      <c r="L314" s="26">
        <f t="shared" si="14"/>
        <v>5067.6</v>
      </c>
      <c r="M314" s="26">
        <v>3293.9</v>
      </c>
      <c r="N314" s="26">
        <v>1038.973</v>
      </c>
      <c r="O314" s="26">
        <v>5067.6</v>
      </c>
      <c r="P314" s="26">
        <v>0</v>
      </c>
      <c r="Q314" s="26">
        <v>0</v>
      </c>
      <c r="R314" s="26">
        <v>0</v>
      </c>
      <c r="S314" s="26">
        <f t="shared" si="15"/>
        <v>0</v>
      </c>
      <c r="T314" s="27">
        <v>300</v>
      </c>
    </row>
    <row r="315" spans="1:20" s="53" customFormat="1" ht="78.75">
      <c r="A315" s="21"/>
      <c r="B315" s="22">
        <v>30111000</v>
      </c>
      <c r="C315" s="33" t="s">
        <v>336</v>
      </c>
      <c r="D315" s="34" t="s">
        <v>285</v>
      </c>
      <c r="E315" s="21"/>
      <c r="F315" s="24">
        <v>40544</v>
      </c>
      <c r="G315" s="25" t="s">
        <v>280</v>
      </c>
      <c r="H315" s="25" t="s">
        <v>156</v>
      </c>
      <c r="I315" s="25" t="s">
        <v>286</v>
      </c>
      <c r="J315" s="25" t="s">
        <v>31</v>
      </c>
      <c r="K315" s="25" t="s">
        <v>101</v>
      </c>
      <c r="L315" s="26">
        <f t="shared" si="14"/>
        <v>0</v>
      </c>
      <c r="M315" s="26">
        <v>633.3</v>
      </c>
      <c r="N315" s="26">
        <v>115.44</v>
      </c>
      <c r="O315" s="26">
        <v>0</v>
      </c>
      <c r="P315" s="26">
        <v>0</v>
      </c>
      <c r="Q315" s="26">
        <v>0</v>
      </c>
      <c r="R315" s="26">
        <v>0</v>
      </c>
      <c r="S315" s="26">
        <f t="shared" si="15"/>
        <v>0</v>
      </c>
      <c r="T315" s="27">
        <v>300</v>
      </c>
    </row>
    <row r="316" spans="1:20" s="53" customFormat="1" ht="78.75">
      <c r="A316" s="21">
        <v>801</v>
      </c>
      <c r="B316" s="22">
        <v>30112000</v>
      </c>
      <c r="C316" s="28" t="s">
        <v>151</v>
      </c>
      <c r="D316" s="34" t="s">
        <v>341</v>
      </c>
      <c r="E316" s="21"/>
      <c r="F316" s="24">
        <v>39814</v>
      </c>
      <c r="G316" s="25" t="s">
        <v>155</v>
      </c>
      <c r="H316" s="25" t="s">
        <v>154</v>
      </c>
      <c r="I316" s="25" t="s">
        <v>45</v>
      </c>
      <c r="J316" s="25" t="s">
        <v>31</v>
      </c>
      <c r="K316" s="25" t="s">
        <v>59</v>
      </c>
      <c r="L316" s="26">
        <f t="shared" si="14"/>
        <v>0</v>
      </c>
      <c r="M316" s="26">
        <v>300.53</v>
      </c>
      <c r="N316" s="26">
        <v>295.85</v>
      </c>
      <c r="O316" s="26">
        <v>0</v>
      </c>
      <c r="P316" s="26">
        <v>0</v>
      </c>
      <c r="Q316" s="26">
        <v>0</v>
      </c>
      <c r="R316" s="26">
        <v>0</v>
      </c>
      <c r="S316" s="26">
        <f t="shared" si="15"/>
        <v>0</v>
      </c>
      <c r="T316" s="27">
        <v>300</v>
      </c>
    </row>
    <row r="317" spans="1:20" s="53" customFormat="1" ht="78.75">
      <c r="A317" s="21">
        <v>801</v>
      </c>
      <c r="B317" s="22">
        <v>30112000</v>
      </c>
      <c r="C317" s="28" t="s">
        <v>151</v>
      </c>
      <c r="D317" s="34" t="s">
        <v>257</v>
      </c>
      <c r="E317" s="21"/>
      <c r="F317" s="24">
        <v>38718</v>
      </c>
      <c r="G317" s="25" t="s">
        <v>155</v>
      </c>
      <c r="H317" s="25" t="s">
        <v>154</v>
      </c>
      <c r="I317" s="25" t="s">
        <v>342</v>
      </c>
      <c r="J317" s="25" t="s">
        <v>301</v>
      </c>
      <c r="K317" s="25" t="s">
        <v>59</v>
      </c>
      <c r="L317" s="26">
        <f t="shared" si="14"/>
        <v>0</v>
      </c>
      <c r="M317" s="26">
        <v>8370</v>
      </c>
      <c r="N317" s="26">
        <v>7828.31</v>
      </c>
      <c r="O317" s="26">
        <v>0</v>
      </c>
      <c r="P317" s="26">
        <v>0</v>
      </c>
      <c r="Q317" s="26">
        <v>0</v>
      </c>
      <c r="R317" s="26">
        <v>0</v>
      </c>
      <c r="S317" s="26">
        <f t="shared" si="15"/>
        <v>0</v>
      </c>
      <c r="T317" s="27">
        <v>300</v>
      </c>
    </row>
    <row r="318" spans="1:20" s="53" customFormat="1" ht="123.75">
      <c r="A318" s="21">
        <v>801</v>
      </c>
      <c r="B318" s="22">
        <v>30112000</v>
      </c>
      <c r="C318" s="33" t="s">
        <v>151</v>
      </c>
      <c r="D318" s="30" t="s">
        <v>343</v>
      </c>
      <c r="E318" s="21"/>
      <c r="F318" s="24">
        <v>40909</v>
      </c>
      <c r="G318" s="25" t="s">
        <v>155</v>
      </c>
      <c r="H318" s="25" t="s">
        <v>154</v>
      </c>
      <c r="I318" s="25" t="s">
        <v>344</v>
      </c>
      <c r="J318" s="25" t="s">
        <v>31</v>
      </c>
      <c r="K318" s="25" t="s">
        <v>59</v>
      </c>
      <c r="L318" s="26">
        <f t="shared" si="14"/>
        <v>8681.2</v>
      </c>
      <c r="M318" s="26">
        <v>13001.78</v>
      </c>
      <c r="N318" s="26">
        <v>13001.7</v>
      </c>
      <c r="O318" s="26">
        <v>8681.2</v>
      </c>
      <c r="P318" s="26">
        <v>2210.284</v>
      </c>
      <c r="Q318" s="26">
        <v>9000</v>
      </c>
      <c r="R318" s="26">
        <v>0</v>
      </c>
      <c r="S318" s="26">
        <f t="shared" si="15"/>
        <v>0</v>
      </c>
      <c r="T318" s="27">
        <v>300</v>
      </c>
    </row>
    <row r="319" spans="1:20" s="53" customFormat="1" ht="78.75">
      <c r="A319" s="21">
        <v>801</v>
      </c>
      <c r="B319" s="22">
        <v>30112000</v>
      </c>
      <c r="C319" s="33" t="s">
        <v>151</v>
      </c>
      <c r="D319" s="23"/>
      <c r="E319" s="21"/>
      <c r="F319" s="24"/>
      <c r="G319" s="25" t="s">
        <v>155</v>
      </c>
      <c r="H319" s="25" t="s">
        <v>154</v>
      </c>
      <c r="I319" s="25" t="s">
        <v>344</v>
      </c>
      <c r="J319" s="25" t="s">
        <v>31</v>
      </c>
      <c r="K319" s="25" t="s">
        <v>60</v>
      </c>
      <c r="L319" s="26">
        <f t="shared" si="14"/>
        <v>0</v>
      </c>
      <c r="M319" s="26">
        <v>56.06</v>
      </c>
      <c r="N319" s="26">
        <v>56.06</v>
      </c>
      <c r="O319" s="26">
        <v>0</v>
      </c>
      <c r="P319" s="26">
        <v>0</v>
      </c>
      <c r="Q319" s="26">
        <v>0</v>
      </c>
      <c r="R319" s="26">
        <v>0</v>
      </c>
      <c r="S319" s="26">
        <f t="shared" si="15"/>
        <v>0</v>
      </c>
      <c r="T319" s="27">
        <v>300</v>
      </c>
    </row>
    <row r="320" spans="1:20" s="53" customFormat="1" ht="22.5">
      <c r="A320" s="21">
        <v>801</v>
      </c>
      <c r="B320" s="22">
        <v>30115000</v>
      </c>
      <c r="C320" s="35" t="s">
        <v>339</v>
      </c>
      <c r="D320" s="23"/>
      <c r="E320" s="21"/>
      <c r="F320" s="24"/>
      <c r="G320" s="25" t="s">
        <v>153</v>
      </c>
      <c r="H320" s="25" t="s">
        <v>154</v>
      </c>
      <c r="I320" s="25" t="s">
        <v>340</v>
      </c>
      <c r="J320" s="25" t="s">
        <v>31</v>
      </c>
      <c r="K320" s="25" t="s">
        <v>60</v>
      </c>
      <c r="L320" s="26">
        <f aca="true" t="shared" si="16" ref="L320:L329">O320</f>
        <v>92.60000000000001</v>
      </c>
      <c r="M320" s="26">
        <v>833.4</v>
      </c>
      <c r="N320" s="26">
        <v>833.4</v>
      </c>
      <c r="O320" s="26">
        <v>92.60000000000001</v>
      </c>
      <c r="P320" s="26">
        <v>92.60000000000001</v>
      </c>
      <c r="Q320" s="26">
        <v>1100</v>
      </c>
      <c r="R320" s="26">
        <v>1100</v>
      </c>
      <c r="S320" s="26">
        <f aca="true" t="shared" si="17" ref="S320:S329">R320</f>
        <v>1100</v>
      </c>
      <c r="T320" s="27">
        <v>300</v>
      </c>
    </row>
    <row r="321" spans="1:20" s="53" customFormat="1" ht="67.5">
      <c r="A321" s="21">
        <v>801</v>
      </c>
      <c r="B321" s="22">
        <v>30117000</v>
      </c>
      <c r="C321" s="33" t="s">
        <v>159</v>
      </c>
      <c r="D321" s="30" t="s">
        <v>345</v>
      </c>
      <c r="E321" s="21"/>
      <c r="F321" s="24">
        <v>40909</v>
      </c>
      <c r="G321" s="25" t="s">
        <v>161</v>
      </c>
      <c r="H321" s="25" t="s">
        <v>153</v>
      </c>
      <c r="I321" s="25" t="s">
        <v>68</v>
      </c>
      <c r="J321" s="25" t="s">
        <v>31</v>
      </c>
      <c r="K321" s="25" t="s">
        <v>56</v>
      </c>
      <c r="L321" s="26">
        <f t="shared" si="16"/>
        <v>0</v>
      </c>
      <c r="M321" s="26">
        <v>23.01</v>
      </c>
      <c r="N321" s="26">
        <v>23.01</v>
      </c>
      <c r="O321" s="26">
        <v>0</v>
      </c>
      <c r="P321" s="26">
        <v>0</v>
      </c>
      <c r="Q321" s="26">
        <v>0</v>
      </c>
      <c r="R321" s="26">
        <v>0</v>
      </c>
      <c r="S321" s="26">
        <f t="shared" si="17"/>
        <v>0</v>
      </c>
      <c r="T321" s="27">
        <v>300</v>
      </c>
    </row>
    <row r="322" spans="1:20" s="53" customFormat="1" ht="11.25">
      <c r="A322" s="21">
        <v>801</v>
      </c>
      <c r="B322" s="22">
        <v>30117000</v>
      </c>
      <c r="C322" s="33" t="s">
        <v>159</v>
      </c>
      <c r="D322" s="23"/>
      <c r="E322" s="21"/>
      <c r="F322" s="24"/>
      <c r="G322" s="25" t="s">
        <v>161</v>
      </c>
      <c r="H322" s="25" t="s">
        <v>153</v>
      </c>
      <c r="I322" s="25" t="s">
        <v>68</v>
      </c>
      <c r="J322" s="25" t="s">
        <v>31</v>
      </c>
      <c r="K322" s="25" t="s">
        <v>58</v>
      </c>
      <c r="L322" s="26">
        <f t="shared" si="16"/>
        <v>50</v>
      </c>
      <c r="M322" s="26">
        <v>0</v>
      </c>
      <c r="N322" s="26">
        <v>0</v>
      </c>
      <c r="O322" s="26">
        <v>50</v>
      </c>
      <c r="P322" s="26">
        <v>0</v>
      </c>
      <c r="Q322" s="26">
        <v>0</v>
      </c>
      <c r="R322" s="26">
        <v>0</v>
      </c>
      <c r="S322" s="26">
        <f t="shared" si="17"/>
        <v>0</v>
      </c>
      <c r="T322" s="27">
        <v>300</v>
      </c>
    </row>
    <row r="323" spans="1:20" s="53" customFormat="1" ht="11.25">
      <c r="A323" s="21">
        <v>801</v>
      </c>
      <c r="B323" s="22">
        <v>30117000</v>
      </c>
      <c r="C323" s="33" t="s">
        <v>159</v>
      </c>
      <c r="D323" s="23"/>
      <c r="E323" s="21"/>
      <c r="F323" s="24"/>
      <c r="G323" s="25" t="s">
        <v>161</v>
      </c>
      <c r="H323" s="25" t="s">
        <v>153</v>
      </c>
      <c r="I323" s="25" t="s">
        <v>68</v>
      </c>
      <c r="J323" s="25" t="s">
        <v>31</v>
      </c>
      <c r="K323" s="25" t="s">
        <v>59</v>
      </c>
      <c r="L323" s="26">
        <f t="shared" si="16"/>
        <v>940</v>
      </c>
      <c r="M323" s="26">
        <v>1122.6000000000001</v>
      </c>
      <c r="N323" s="26">
        <v>456.03000000000003</v>
      </c>
      <c r="O323" s="26">
        <v>940</v>
      </c>
      <c r="P323" s="26">
        <v>0</v>
      </c>
      <c r="Q323" s="26">
        <v>0</v>
      </c>
      <c r="R323" s="26">
        <v>0</v>
      </c>
      <c r="S323" s="26">
        <f t="shared" si="17"/>
        <v>0</v>
      </c>
      <c r="T323" s="27">
        <v>300</v>
      </c>
    </row>
    <row r="324" spans="1:20" s="53" customFormat="1" ht="11.25">
      <c r="A324" s="21">
        <v>801</v>
      </c>
      <c r="B324" s="22">
        <v>30117000</v>
      </c>
      <c r="C324" s="33" t="s">
        <v>159</v>
      </c>
      <c r="D324" s="23"/>
      <c r="E324" s="21"/>
      <c r="F324" s="24"/>
      <c r="G324" s="25" t="s">
        <v>161</v>
      </c>
      <c r="H324" s="25" t="s">
        <v>153</v>
      </c>
      <c r="I324" s="25" t="s">
        <v>68</v>
      </c>
      <c r="J324" s="25" t="s">
        <v>31</v>
      </c>
      <c r="K324" s="25" t="s">
        <v>60</v>
      </c>
      <c r="L324" s="26">
        <f t="shared" si="16"/>
        <v>450</v>
      </c>
      <c r="M324" s="26">
        <v>61</v>
      </c>
      <c r="N324" s="26">
        <v>61</v>
      </c>
      <c r="O324" s="26">
        <v>450</v>
      </c>
      <c r="P324" s="26">
        <v>0</v>
      </c>
      <c r="Q324" s="26">
        <v>0</v>
      </c>
      <c r="R324" s="26">
        <v>0</v>
      </c>
      <c r="S324" s="26">
        <f t="shared" si="17"/>
        <v>0</v>
      </c>
      <c r="T324" s="27">
        <v>300</v>
      </c>
    </row>
    <row r="325" spans="1:20" s="53" customFormat="1" ht="11.25">
      <c r="A325" s="21">
        <v>801</v>
      </c>
      <c r="B325" s="22">
        <v>30117000</v>
      </c>
      <c r="C325" s="33" t="s">
        <v>159</v>
      </c>
      <c r="D325" s="23"/>
      <c r="E325" s="21"/>
      <c r="F325" s="24"/>
      <c r="G325" s="25" t="s">
        <v>161</v>
      </c>
      <c r="H325" s="25" t="s">
        <v>153</v>
      </c>
      <c r="I325" s="25" t="s">
        <v>68</v>
      </c>
      <c r="J325" s="25" t="s">
        <v>31</v>
      </c>
      <c r="K325" s="25" t="s">
        <v>32</v>
      </c>
      <c r="L325" s="26">
        <f t="shared" si="16"/>
        <v>0</v>
      </c>
      <c r="M325" s="26">
        <v>90.39</v>
      </c>
      <c r="N325" s="26">
        <v>87.76</v>
      </c>
      <c r="O325" s="26">
        <v>0</v>
      </c>
      <c r="P325" s="26">
        <v>0</v>
      </c>
      <c r="Q325" s="26">
        <v>0</v>
      </c>
      <c r="R325" s="26">
        <v>0</v>
      </c>
      <c r="S325" s="26">
        <f t="shared" si="17"/>
        <v>0</v>
      </c>
      <c r="T325" s="27">
        <v>300</v>
      </c>
    </row>
    <row r="326" spans="1:20" s="53" customFormat="1" ht="11.25">
      <c r="A326" s="21">
        <v>801</v>
      </c>
      <c r="B326" s="22">
        <v>30117000</v>
      </c>
      <c r="C326" s="33" t="s">
        <v>159</v>
      </c>
      <c r="D326" s="23"/>
      <c r="E326" s="21"/>
      <c r="F326" s="24"/>
      <c r="G326" s="25" t="s">
        <v>161</v>
      </c>
      <c r="H326" s="25" t="s">
        <v>153</v>
      </c>
      <c r="I326" s="25" t="s">
        <v>68</v>
      </c>
      <c r="J326" s="25" t="s">
        <v>31</v>
      </c>
      <c r="K326" s="25" t="s">
        <v>34</v>
      </c>
      <c r="L326" s="26">
        <f t="shared" si="16"/>
        <v>0</v>
      </c>
      <c r="M326" s="26">
        <v>30</v>
      </c>
      <c r="N326" s="26">
        <v>13.31</v>
      </c>
      <c r="O326" s="26">
        <v>0</v>
      </c>
      <c r="P326" s="26">
        <v>0</v>
      </c>
      <c r="Q326" s="26">
        <v>0</v>
      </c>
      <c r="R326" s="26">
        <v>0</v>
      </c>
      <c r="S326" s="26">
        <f t="shared" si="17"/>
        <v>0</v>
      </c>
      <c r="T326" s="27">
        <v>300</v>
      </c>
    </row>
    <row r="327" spans="1:20" s="53" customFormat="1" ht="78.75">
      <c r="A327" s="21">
        <v>801</v>
      </c>
      <c r="B327" s="22">
        <v>30118000</v>
      </c>
      <c r="C327" s="28" t="s">
        <v>69</v>
      </c>
      <c r="D327" s="23"/>
      <c r="E327" s="21"/>
      <c r="F327" s="24"/>
      <c r="G327" s="25" t="s">
        <v>157</v>
      </c>
      <c r="H327" s="25" t="s">
        <v>157</v>
      </c>
      <c r="I327" s="25" t="s">
        <v>131</v>
      </c>
      <c r="J327" s="25" t="s">
        <v>31</v>
      </c>
      <c r="K327" s="25" t="s">
        <v>53</v>
      </c>
      <c r="L327" s="26">
        <f t="shared" si="16"/>
        <v>0</v>
      </c>
      <c r="M327" s="26">
        <v>7</v>
      </c>
      <c r="N327" s="26">
        <v>3.5</v>
      </c>
      <c r="O327" s="26">
        <v>0</v>
      </c>
      <c r="P327" s="26">
        <v>0</v>
      </c>
      <c r="Q327" s="26">
        <v>0</v>
      </c>
      <c r="R327" s="26">
        <v>0</v>
      </c>
      <c r="S327" s="26">
        <f t="shared" si="17"/>
        <v>0</v>
      </c>
      <c r="T327" s="27">
        <v>300</v>
      </c>
    </row>
    <row r="328" spans="1:20" s="53" customFormat="1" ht="78.75">
      <c r="A328" s="21">
        <v>801</v>
      </c>
      <c r="B328" s="22">
        <v>30118000</v>
      </c>
      <c r="C328" s="28" t="s">
        <v>69</v>
      </c>
      <c r="D328" s="23"/>
      <c r="E328" s="21"/>
      <c r="F328" s="24"/>
      <c r="G328" s="25" t="s">
        <v>157</v>
      </c>
      <c r="H328" s="25" t="s">
        <v>157</v>
      </c>
      <c r="I328" s="25" t="s">
        <v>131</v>
      </c>
      <c r="J328" s="25" t="s">
        <v>38</v>
      </c>
      <c r="K328" s="25" t="s">
        <v>39</v>
      </c>
      <c r="L328" s="26">
        <f t="shared" si="16"/>
        <v>0</v>
      </c>
      <c r="M328" s="26">
        <v>53.5</v>
      </c>
      <c r="N328" s="26">
        <v>48.1</v>
      </c>
      <c r="O328" s="26">
        <v>0</v>
      </c>
      <c r="P328" s="26">
        <v>0</v>
      </c>
      <c r="Q328" s="26">
        <v>0</v>
      </c>
      <c r="R328" s="26">
        <v>0</v>
      </c>
      <c r="S328" s="26">
        <f t="shared" si="17"/>
        <v>0</v>
      </c>
      <c r="T328" s="27">
        <v>300</v>
      </c>
    </row>
    <row r="329" spans="1:20" s="53" customFormat="1" ht="90">
      <c r="A329" s="21">
        <v>801</v>
      </c>
      <c r="B329" s="22">
        <v>30119000</v>
      </c>
      <c r="C329" s="28" t="s">
        <v>346</v>
      </c>
      <c r="D329" s="34" t="s">
        <v>347</v>
      </c>
      <c r="E329" s="21"/>
      <c r="F329" s="24">
        <v>41027</v>
      </c>
      <c r="G329" s="25" t="s">
        <v>154</v>
      </c>
      <c r="H329" s="25" t="s">
        <v>149</v>
      </c>
      <c r="I329" s="25" t="s">
        <v>348</v>
      </c>
      <c r="J329" s="25" t="s">
        <v>38</v>
      </c>
      <c r="K329" s="25" t="s">
        <v>39</v>
      </c>
      <c r="L329" s="26">
        <f t="shared" si="16"/>
        <v>0</v>
      </c>
      <c r="M329" s="26">
        <v>9898.29</v>
      </c>
      <c r="N329" s="26">
        <v>9897.95</v>
      </c>
      <c r="O329" s="26">
        <v>0</v>
      </c>
      <c r="P329" s="26">
        <v>0</v>
      </c>
      <c r="Q329" s="26">
        <v>0</v>
      </c>
      <c r="R329" s="26">
        <v>0</v>
      </c>
      <c r="S329" s="26">
        <f t="shared" si="17"/>
        <v>0</v>
      </c>
      <c r="T329" s="27">
        <v>300</v>
      </c>
    </row>
    <row r="330" spans="1:20" s="53" customFormat="1" ht="90">
      <c r="A330" s="21">
        <v>801</v>
      </c>
      <c r="B330" s="22">
        <v>30119000</v>
      </c>
      <c r="C330" s="28" t="s">
        <v>346</v>
      </c>
      <c r="D330" s="34" t="s">
        <v>347</v>
      </c>
      <c r="E330" s="21"/>
      <c r="F330" s="24">
        <v>41027</v>
      </c>
      <c r="G330" s="25" t="s">
        <v>154</v>
      </c>
      <c r="H330" s="25" t="s">
        <v>156</v>
      </c>
      <c r="I330" s="25" t="s">
        <v>348</v>
      </c>
      <c r="J330" s="25" t="s">
        <v>38</v>
      </c>
      <c r="K330" s="25" t="s">
        <v>39</v>
      </c>
      <c r="L330" s="26">
        <v>0</v>
      </c>
      <c r="M330" s="26">
        <v>1371.34</v>
      </c>
      <c r="N330" s="26">
        <v>1368.74</v>
      </c>
      <c r="O330" s="26">
        <v>0</v>
      </c>
      <c r="P330" s="26">
        <v>0</v>
      </c>
      <c r="Q330" s="26">
        <v>0</v>
      </c>
      <c r="R330" s="26">
        <v>0</v>
      </c>
      <c r="S330" s="26">
        <v>0</v>
      </c>
      <c r="T330" s="27">
        <v>300</v>
      </c>
    </row>
    <row r="331" spans="1:20" s="53" customFormat="1" ht="101.25">
      <c r="A331" s="21">
        <v>801</v>
      </c>
      <c r="B331" s="22">
        <v>30119000</v>
      </c>
      <c r="C331" s="33" t="s">
        <v>346</v>
      </c>
      <c r="D331" s="34" t="s">
        <v>349</v>
      </c>
      <c r="E331" s="21"/>
      <c r="F331" s="24">
        <v>40946</v>
      </c>
      <c r="G331" s="25" t="s">
        <v>154</v>
      </c>
      <c r="H331" s="25" t="s">
        <v>156</v>
      </c>
      <c r="I331" s="25" t="s">
        <v>350</v>
      </c>
      <c r="J331" s="25" t="s">
        <v>38</v>
      </c>
      <c r="K331" s="25" t="s">
        <v>39</v>
      </c>
      <c r="L331" s="26">
        <v>0</v>
      </c>
      <c r="M331" s="26">
        <v>89</v>
      </c>
      <c r="N331" s="26">
        <v>88</v>
      </c>
      <c r="O331" s="26">
        <v>0</v>
      </c>
      <c r="P331" s="26">
        <v>0</v>
      </c>
      <c r="Q331" s="26">
        <v>0</v>
      </c>
      <c r="R331" s="26">
        <v>0</v>
      </c>
      <c r="S331" s="26">
        <v>0</v>
      </c>
      <c r="T331" s="27">
        <v>300</v>
      </c>
    </row>
    <row r="332" spans="1:20" s="53" customFormat="1" ht="90">
      <c r="A332" s="21">
        <v>801</v>
      </c>
      <c r="B332" s="22">
        <v>30119000</v>
      </c>
      <c r="C332" s="33" t="s">
        <v>346</v>
      </c>
      <c r="D332" s="23"/>
      <c r="E332" s="21"/>
      <c r="F332" s="24"/>
      <c r="G332" s="25" t="s">
        <v>154</v>
      </c>
      <c r="H332" s="25" t="s">
        <v>156</v>
      </c>
      <c r="I332" s="25" t="s">
        <v>351</v>
      </c>
      <c r="J332" s="25" t="s">
        <v>38</v>
      </c>
      <c r="K332" s="25" t="s">
        <v>39</v>
      </c>
      <c r="L332" s="26">
        <v>0</v>
      </c>
      <c r="M332" s="26">
        <v>90</v>
      </c>
      <c r="N332" s="26">
        <v>0</v>
      </c>
      <c r="O332" s="26">
        <v>0</v>
      </c>
      <c r="P332" s="26">
        <v>0</v>
      </c>
      <c r="Q332" s="26">
        <v>0</v>
      </c>
      <c r="R332" s="26">
        <v>0</v>
      </c>
      <c r="S332" s="26">
        <v>0</v>
      </c>
      <c r="T332" s="27">
        <v>300</v>
      </c>
    </row>
    <row r="333" spans="1:20" s="106" customFormat="1" ht="90">
      <c r="A333" s="21">
        <v>801</v>
      </c>
      <c r="B333" s="22">
        <v>30119000</v>
      </c>
      <c r="C333" s="32" t="s">
        <v>346</v>
      </c>
      <c r="D333" s="37" t="s">
        <v>352</v>
      </c>
      <c r="E333" s="36"/>
      <c r="F333" s="24">
        <v>40544</v>
      </c>
      <c r="G333" s="25" t="s">
        <v>154</v>
      </c>
      <c r="H333" s="25" t="s">
        <v>154</v>
      </c>
      <c r="I333" s="25" t="s">
        <v>100</v>
      </c>
      <c r="J333" s="25" t="s">
        <v>38</v>
      </c>
      <c r="K333" s="25" t="s">
        <v>39</v>
      </c>
      <c r="L333" s="26">
        <f aca="true" t="shared" si="18" ref="L333:L400">O333</f>
        <v>0</v>
      </c>
      <c r="M333" s="26">
        <v>10</v>
      </c>
      <c r="N333" s="26">
        <v>10</v>
      </c>
      <c r="O333" s="26">
        <v>0</v>
      </c>
      <c r="P333" s="26">
        <v>0</v>
      </c>
      <c r="Q333" s="26">
        <v>0</v>
      </c>
      <c r="R333" s="26">
        <v>0</v>
      </c>
      <c r="S333" s="26">
        <f aca="true" t="shared" si="19" ref="S333:S404">R333</f>
        <v>0</v>
      </c>
      <c r="T333" s="27">
        <v>300</v>
      </c>
    </row>
    <row r="334" spans="1:20" s="106" customFormat="1" ht="67.5">
      <c r="A334" s="21">
        <v>801</v>
      </c>
      <c r="B334" s="22" t="s">
        <v>435</v>
      </c>
      <c r="C334" s="41" t="s">
        <v>436</v>
      </c>
      <c r="D334" s="113" t="s">
        <v>356</v>
      </c>
      <c r="E334" s="36"/>
      <c r="F334" s="24">
        <v>41275</v>
      </c>
      <c r="G334" s="25" t="s">
        <v>149</v>
      </c>
      <c r="H334" s="25" t="s">
        <v>155</v>
      </c>
      <c r="I334" s="25" t="s">
        <v>51</v>
      </c>
      <c r="J334" s="25" t="s">
        <v>31</v>
      </c>
      <c r="K334" s="25" t="s">
        <v>52</v>
      </c>
      <c r="L334" s="26"/>
      <c r="M334" s="26"/>
      <c r="N334" s="26"/>
      <c r="O334" s="26">
        <v>540</v>
      </c>
      <c r="P334" s="26">
        <v>62.15</v>
      </c>
      <c r="Q334" s="26"/>
      <c r="R334" s="26"/>
      <c r="S334" s="26"/>
      <c r="T334" s="27">
        <v>300</v>
      </c>
    </row>
    <row r="335" spans="1:20" s="106" customFormat="1" ht="67.5">
      <c r="A335" s="21">
        <v>801</v>
      </c>
      <c r="B335" s="22" t="s">
        <v>437</v>
      </c>
      <c r="C335" s="41" t="s">
        <v>436</v>
      </c>
      <c r="D335" s="114"/>
      <c r="E335" s="36"/>
      <c r="F335" s="24"/>
      <c r="G335" s="25" t="s">
        <v>149</v>
      </c>
      <c r="H335" s="25" t="s">
        <v>155</v>
      </c>
      <c r="I335" s="25" t="s">
        <v>51</v>
      </c>
      <c r="J335" s="25" t="s">
        <v>31</v>
      </c>
      <c r="K335" s="25" t="s">
        <v>54</v>
      </c>
      <c r="L335" s="26"/>
      <c r="M335" s="26"/>
      <c r="N335" s="26"/>
      <c r="O335" s="26">
        <v>163.1</v>
      </c>
      <c r="P335" s="26">
        <v>15.12</v>
      </c>
      <c r="Q335" s="26"/>
      <c r="R335" s="26"/>
      <c r="S335" s="26"/>
      <c r="T335" s="27">
        <v>300</v>
      </c>
    </row>
    <row r="336" spans="1:20" s="106" customFormat="1" ht="67.5">
      <c r="A336" s="21">
        <v>801</v>
      </c>
      <c r="B336" s="22" t="s">
        <v>438</v>
      </c>
      <c r="C336" s="41" t="s">
        <v>436</v>
      </c>
      <c r="D336" s="114"/>
      <c r="E336" s="36"/>
      <c r="F336" s="24"/>
      <c r="G336" s="25" t="s">
        <v>149</v>
      </c>
      <c r="H336" s="25" t="s">
        <v>155</v>
      </c>
      <c r="I336" s="25" t="s">
        <v>51</v>
      </c>
      <c r="J336" s="25" t="s">
        <v>31</v>
      </c>
      <c r="K336" s="25" t="s">
        <v>55</v>
      </c>
      <c r="L336" s="26"/>
      <c r="M336" s="26"/>
      <c r="N336" s="26"/>
      <c r="O336" s="26">
        <v>35.6</v>
      </c>
      <c r="P336" s="26">
        <v>1.82</v>
      </c>
      <c r="Q336" s="26"/>
      <c r="R336" s="26"/>
      <c r="S336" s="26"/>
      <c r="T336" s="27">
        <v>300</v>
      </c>
    </row>
    <row r="337" spans="1:20" s="106" customFormat="1" ht="67.5">
      <c r="A337" s="21">
        <v>801</v>
      </c>
      <c r="B337" s="22" t="s">
        <v>439</v>
      </c>
      <c r="C337" s="41" t="s">
        <v>436</v>
      </c>
      <c r="D337" s="114"/>
      <c r="E337" s="36"/>
      <c r="F337" s="24"/>
      <c r="G337" s="25" t="s">
        <v>149</v>
      </c>
      <c r="H337" s="25" t="s">
        <v>155</v>
      </c>
      <c r="I337" s="25" t="s">
        <v>51</v>
      </c>
      <c r="J337" s="25" t="s">
        <v>31</v>
      </c>
      <c r="K337" s="25" t="s">
        <v>59</v>
      </c>
      <c r="L337" s="26"/>
      <c r="M337" s="26"/>
      <c r="N337" s="26"/>
      <c r="O337" s="26">
        <v>20</v>
      </c>
      <c r="P337" s="26">
        <v>0</v>
      </c>
      <c r="Q337" s="26"/>
      <c r="R337" s="26"/>
      <c r="S337" s="26"/>
      <c r="T337" s="27">
        <v>300</v>
      </c>
    </row>
    <row r="338" spans="1:20" s="106" customFormat="1" ht="67.5">
      <c r="A338" s="21">
        <v>801</v>
      </c>
      <c r="B338" s="22" t="s">
        <v>440</v>
      </c>
      <c r="C338" s="41" t="s">
        <v>436</v>
      </c>
      <c r="D338" s="114"/>
      <c r="E338" s="36"/>
      <c r="F338" s="24"/>
      <c r="G338" s="25" t="s">
        <v>149</v>
      </c>
      <c r="H338" s="25" t="s">
        <v>155</v>
      </c>
      <c r="I338" s="25" t="s">
        <v>51</v>
      </c>
      <c r="J338" s="25" t="s">
        <v>31</v>
      </c>
      <c r="K338" s="25" t="s">
        <v>60</v>
      </c>
      <c r="L338" s="26"/>
      <c r="M338" s="26"/>
      <c r="N338" s="26"/>
      <c r="O338" s="26">
        <v>5</v>
      </c>
      <c r="P338" s="26">
        <v>0</v>
      </c>
      <c r="Q338" s="26"/>
      <c r="R338" s="26"/>
      <c r="S338" s="26"/>
      <c r="T338" s="27">
        <v>300</v>
      </c>
    </row>
    <row r="339" spans="1:20" s="106" customFormat="1" ht="67.5">
      <c r="A339" s="21">
        <v>801</v>
      </c>
      <c r="B339" s="22" t="s">
        <v>441</v>
      </c>
      <c r="C339" s="41" t="s">
        <v>436</v>
      </c>
      <c r="D339" s="114"/>
      <c r="E339" s="36"/>
      <c r="F339" s="24"/>
      <c r="G339" s="25" t="s">
        <v>149</v>
      </c>
      <c r="H339" s="25" t="s">
        <v>155</v>
      </c>
      <c r="I339" s="25" t="s">
        <v>51</v>
      </c>
      <c r="J339" s="25" t="s">
        <v>31</v>
      </c>
      <c r="K339" s="25" t="s">
        <v>101</v>
      </c>
      <c r="L339" s="26"/>
      <c r="M339" s="26"/>
      <c r="N339" s="26"/>
      <c r="O339" s="26">
        <v>356.62</v>
      </c>
      <c r="P339" s="26">
        <v>83.32</v>
      </c>
      <c r="Q339" s="26"/>
      <c r="R339" s="26"/>
      <c r="S339" s="26"/>
      <c r="T339" s="27">
        <v>300</v>
      </c>
    </row>
    <row r="340" spans="1:20" s="106" customFormat="1" ht="67.5">
      <c r="A340" s="21">
        <v>801</v>
      </c>
      <c r="B340" s="22" t="s">
        <v>442</v>
      </c>
      <c r="C340" s="41" t="s">
        <v>436</v>
      </c>
      <c r="D340" s="114"/>
      <c r="E340" s="36"/>
      <c r="F340" s="24"/>
      <c r="G340" s="25" t="s">
        <v>149</v>
      </c>
      <c r="H340" s="25" t="s">
        <v>155</v>
      </c>
      <c r="I340" s="25" t="s">
        <v>51</v>
      </c>
      <c r="J340" s="25" t="s">
        <v>31</v>
      </c>
      <c r="K340" s="25" t="s">
        <v>34</v>
      </c>
      <c r="L340" s="26"/>
      <c r="M340" s="26"/>
      <c r="N340" s="26"/>
      <c r="O340" s="26">
        <v>100</v>
      </c>
      <c r="P340" s="26">
        <v>23.52</v>
      </c>
      <c r="Q340" s="26"/>
      <c r="R340" s="26"/>
      <c r="S340" s="26"/>
      <c r="T340" s="27">
        <v>300</v>
      </c>
    </row>
    <row r="341" spans="1:20" s="53" customFormat="1" ht="45" customHeight="1">
      <c r="A341" s="21">
        <v>801</v>
      </c>
      <c r="B341" s="22">
        <v>30126000</v>
      </c>
      <c r="C341" s="33" t="s">
        <v>355</v>
      </c>
      <c r="D341" s="129" t="s">
        <v>356</v>
      </c>
      <c r="E341" s="21"/>
      <c r="F341" s="24">
        <v>40909</v>
      </c>
      <c r="G341" s="25" t="s">
        <v>149</v>
      </c>
      <c r="H341" s="25" t="s">
        <v>155</v>
      </c>
      <c r="I341" s="25" t="s">
        <v>51</v>
      </c>
      <c r="J341" s="25" t="s">
        <v>31</v>
      </c>
      <c r="K341" s="25" t="s">
        <v>52</v>
      </c>
      <c r="L341" s="26">
        <f t="shared" si="18"/>
        <v>51.46</v>
      </c>
      <c r="M341" s="26">
        <v>44.35</v>
      </c>
      <c r="N341" s="26">
        <v>44.35</v>
      </c>
      <c r="O341" s="26">
        <v>51.46</v>
      </c>
      <c r="P341" s="26">
        <v>8.56</v>
      </c>
      <c r="Q341" s="26">
        <v>0</v>
      </c>
      <c r="R341" s="26">
        <v>0</v>
      </c>
      <c r="S341" s="26">
        <f t="shared" si="19"/>
        <v>0</v>
      </c>
      <c r="T341" s="27">
        <v>300</v>
      </c>
    </row>
    <row r="342" spans="1:20" s="53" customFormat="1" ht="22.5">
      <c r="A342" s="21">
        <v>801</v>
      </c>
      <c r="B342" s="22">
        <v>30126000</v>
      </c>
      <c r="C342" s="33" t="s">
        <v>355</v>
      </c>
      <c r="D342" s="130"/>
      <c r="E342" s="21"/>
      <c r="F342" s="24"/>
      <c r="G342" s="25" t="s">
        <v>149</v>
      </c>
      <c r="H342" s="25" t="s">
        <v>155</v>
      </c>
      <c r="I342" s="25" t="s">
        <v>51</v>
      </c>
      <c r="J342" s="25" t="s">
        <v>31</v>
      </c>
      <c r="K342" s="25" t="s">
        <v>54</v>
      </c>
      <c r="L342" s="26">
        <f t="shared" si="18"/>
        <v>15.540000000000001</v>
      </c>
      <c r="M342" s="26">
        <v>15.35</v>
      </c>
      <c r="N342" s="26">
        <v>15.35</v>
      </c>
      <c r="O342" s="26">
        <v>15.540000000000001</v>
      </c>
      <c r="P342" s="26">
        <v>2.58</v>
      </c>
      <c r="Q342" s="26">
        <v>0</v>
      </c>
      <c r="R342" s="26">
        <v>0</v>
      </c>
      <c r="S342" s="26">
        <f t="shared" si="19"/>
        <v>0</v>
      </c>
      <c r="T342" s="27">
        <v>300</v>
      </c>
    </row>
    <row r="343" spans="1:20" s="53" customFormat="1" ht="22.5">
      <c r="A343" s="21">
        <v>801</v>
      </c>
      <c r="B343" s="22">
        <v>30126000</v>
      </c>
      <c r="C343" s="33" t="s">
        <v>355</v>
      </c>
      <c r="D343" s="131"/>
      <c r="E343" s="21"/>
      <c r="F343" s="24"/>
      <c r="G343" s="25" t="s">
        <v>149</v>
      </c>
      <c r="H343" s="25" t="s">
        <v>155</v>
      </c>
      <c r="I343" s="25" t="s">
        <v>51</v>
      </c>
      <c r="J343" s="25" t="s">
        <v>31</v>
      </c>
      <c r="K343" s="25" t="s">
        <v>34</v>
      </c>
      <c r="L343" s="26">
        <f t="shared" si="18"/>
        <v>0</v>
      </c>
      <c r="M343" s="26">
        <v>6.63</v>
      </c>
      <c r="N343" s="26">
        <v>6.63</v>
      </c>
      <c r="O343" s="26">
        <v>0</v>
      </c>
      <c r="P343" s="26">
        <v>0</v>
      </c>
      <c r="Q343" s="26">
        <v>0</v>
      </c>
      <c r="R343" s="26">
        <v>0</v>
      </c>
      <c r="S343" s="26">
        <f t="shared" si="19"/>
        <v>0</v>
      </c>
      <c r="T343" s="27">
        <v>300</v>
      </c>
    </row>
    <row r="344" spans="1:20" s="53" customFormat="1" ht="78.75">
      <c r="A344" s="21">
        <v>801</v>
      </c>
      <c r="B344" s="22">
        <v>30127000</v>
      </c>
      <c r="C344" s="33" t="s">
        <v>359</v>
      </c>
      <c r="D344" s="30" t="s">
        <v>360</v>
      </c>
      <c r="E344" s="21"/>
      <c r="F344" s="24">
        <v>40909</v>
      </c>
      <c r="G344" s="25" t="s">
        <v>323</v>
      </c>
      <c r="H344" s="25" t="s">
        <v>149</v>
      </c>
      <c r="I344" s="25" t="s">
        <v>361</v>
      </c>
      <c r="J344" s="25" t="s">
        <v>38</v>
      </c>
      <c r="K344" s="25" t="s">
        <v>39</v>
      </c>
      <c r="L344" s="26">
        <f t="shared" si="18"/>
        <v>14</v>
      </c>
      <c r="M344" s="26">
        <v>14.6</v>
      </c>
      <c r="N344" s="26">
        <v>14.6</v>
      </c>
      <c r="O344" s="26">
        <v>14</v>
      </c>
      <c r="P344" s="26">
        <v>0</v>
      </c>
      <c r="Q344" s="26">
        <v>14</v>
      </c>
      <c r="R344" s="26">
        <v>14</v>
      </c>
      <c r="S344" s="26">
        <f t="shared" si="19"/>
        <v>14</v>
      </c>
      <c r="T344" s="27">
        <v>300</v>
      </c>
    </row>
    <row r="345" spans="1:20" s="53" customFormat="1" ht="33.75">
      <c r="A345" s="21">
        <v>801</v>
      </c>
      <c r="B345" s="22">
        <v>30127000</v>
      </c>
      <c r="C345" s="33" t="s">
        <v>359</v>
      </c>
      <c r="D345" s="30" t="s">
        <v>362</v>
      </c>
      <c r="E345" s="21"/>
      <c r="F345" s="24">
        <v>40909</v>
      </c>
      <c r="G345" s="25" t="s">
        <v>323</v>
      </c>
      <c r="H345" s="25" t="s">
        <v>149</v>
      </c>
      <c r="I345" s="25" t="s">
        <v>363</v>
      </c>
      <c r="J345" s="25" t="s">
        <v>73</v>
      </c>
      <c r="K345" s="25" t="s">
        <v>39</v>
      </c>
      <c r="L345" s="26">
        <f t="shared" si="18"/>
        <v>3300.6</v>
      </c>
      <c r="M345" s="26">
        <v>3461.3</v>
      </c>
      <c r="N345" s="26">
        <v>3461.3</v>
      </c>
      <c r="O345" s="26">
        <v>3300.6</v>
      </c>
      <c r="P345" s="26">
        <v>825.15</v>
      </c>
      <c r="Q345" s="26">
        <v>1742</v>
      </c>
      <c r="R345" s="26">
        <v>1742</v>
      </c>
      <c r="S345" s="26">
        <f t="shared" si="19"/>
        <v>1742</v>
      </c>
      <c r="T345" s="27">
        <v>300</v>
      </c>
    </row>
    <row r="346" spans="1:20" s="53" customFormat="1" ht="78.75">
      <c r="A346" s="21">
        <v>801</v>
      </c>
      <c r="B346" s="22">
        <v>30127000</v>
      </c>
      <c r="C346" s="33" t="s">
        <v>359</v>
      </c>
      <c r="D346" s="30" t="s">
        <v>352</v>
      </c>
      <c r="E346" s="21"/>
      <c r="F346" s="24">
        <v>40544</v>
      </c>
      <c r="G346" s="25" t="s">
        <v>323</v>
      </c>
      <c r="H346" s="25" t="s">
        <v>149</v>
      </c>
      <c r="I346" s="25" t="s">
        <v>100</v>
      </c>
      <c r="J346" s="25" t="s">
        <v>38</v>
      </c>
      <c r="K346" s="25" t="s">
        <v>39</v>
      </c>
      <c r="L346" s="26">
        <f>O346</f>
        <v>0</v>
      </c>
      <c r="M346" s="26">
        <v>10</v>
      </c>
      <c r="N346" s="26">
        <v>10</v>
      </c>
      <c r="O346" s="26">
        <v>0</v>
      </c>
      <c r="P346" s="26">
        <v>0</v>
      </c>
      <c r="Q346" s="26">
        <v>0</v>
      </c>
      <c r="R346" s="26">
        <v>0</v>
      </c>
      <c r="S346" s="26">
        <f>R346</f>
        <v>0</v>
      </c>
      <c r="T346" s="27">
        <v>300</v>
      </c>
    </row>
    <row r="347" spans="1:20" s="53" customFormat="1" ht="112.5">
      <c r="A347" s="21">
        <v>801</v>
      </c>
      <c r="B347" s="22">
        <v>30127000</v>
      </c>
      <c r="C347" s="33" t="s">
        <v>359</v>
      </c>
      <c r="D347" s="30" t="s">
        <v>189</v>
      </c>
      <c r="E347" s="21"/>
      <c r="F347" s="24">
        <v>40847</v>
      </c>
      <c r="G347" s="25" t="s">
        <v>323</v>
      </c>
      <c r="H347" s="25" t="s">
        <v>149</v>
      </c>
      <c r="I347" s="25" t="s">
        <v>76</v>
      </c>
      <c r="J347" s="25" t="s">
        <v>38</v>
      </c>
      <c r="K347" s="25" t="s">
        <v>39</v>
      </c>
      <c r="L347" s="26">
        <f aca="true" t="shared" si="20" ref="L347:L354">O347</f>
        <v>0</v>
      </c>
      <c r="M347" s="26">
        <v>200</v>
      </c>
      <c r="N347" s="26">
        <v>200</v>
      </c>
      <c r="O347" s="26">
        <v>0</v>
      </c>
      <c r="P347" s="26">
        <v>0</v>
      </c>
      <c r="Q347" s="26">
        <v>0</v>
      </c>
      <c r="R347" s="26">
        <v>0</v>
      </c>
      <c r="S347" s="26">
        <f>R347</f>
        <v>0</v>
      </c>
      <c r="T347" s="27">
        <v>300</v>
      </c>
    </row>
    <row r="348" spans="1:20" s="53" customFormat="1" ht="78.75">
      <c r="A348" s="21"/>
      <c r="B348" s="22">
        <v>30127000</v>
      </c>
      <c r="C348" s="33" t="s">
        <v>359</v>
      </c>
      <c r="D348" s="30" t="s">
        <v>326</v>
      </c>
      <c r="E348" s="21"/>
      <c r="F348" s="24">
        <v>40544</v>
      </c>
      <c r="G348" s="25" t="s">
        <v>323</v>
      </c>
      <c r="H348" s="25" t="s">
        <v>155</v>
      </c>
      <c r="I348" s="25" t="s">
        <v>327</v>
      </c>
      <c r="J348" s="25" t="s">
        <v>38</v>
      </c>
      <c r="K348" s="25" t="s">
        <v>39</v>
      </c>
      <c r="L348" s="26">
        <f t="shared" si="20"/>
        <v>30</v>
      </c>
      <c r="M348" s="26">
        <v>20</v>
      </c>
      <c r="N348" s="26">
        <v>19.97</v>
      </c>
      <c r="O348" s="26">
        <v>30</v>
      </c>
      <c r="P348" s="26">
        <v>0</v>
      </c>
      <c r="Q348" s="26">
        <v>0</v>
      </c>
      <c r="R348" s="26">
        <v>0</v>
      </c>
      <c r="S348" s="26">
        <f>R348</f>
        <v>0</v>
      </c>
      <c r="T348" s="27">
        <v>300</v>
      </c>
    </row>
    <row r="349" spans="1:20" s="53" customFormat="1" ht="33.75">
      <c r="A349" s="21">
        <v>801</v>
      </c>
      <c r="B349" s="22">
        <v>30128000</v>
      </c>
      <c r="C349" s="33" t="s">
        <v>364</v>
      </c>
      <c r="D349" s="30" t="s">
        <v>362</v>
      </c>
      <c r="E349" s="21"/>
      <c r="F349" s="24">
        <v>40909</v>
      </c>
      <c r="G349" s="25" t="s">
        <v>323</v>
      </c>
      <c r="H349" s="25" t="s">
        <v>149</v>
      </c>
      <c r="I349" s="25" t="s">
        <v>381</v>
      </c>
      <c r="J349" s="25" t="s">
        <v>73</v>
      </c>
      <c r="K349" s="25" t="s">
        <v>39</v>
      </c>
      <c r="L349" s="26">
        <f>O349</f>
        <v>5589.7</v>
      </c>
      <c r="M349" s="26">
        <v>5551.4</v>
      </c>
      <c r="N349" s="26">
        <v>5551.4</v>
      </c>
      <c r="O349" s="26">
        <v>5589.7</v>
      </c>
      <c r="P349" s="26">
        <v>1397.43</v>
      </c>
      <c r="Q349" s="26">
        <v>4530</v>
      </c>
      <c r="R349" s="26">
        <v>4530</v>
      </c>
      <c r="S349" s="26">
        <f>R349</f>
        <v>4530</v>
      </c>
      <c r="T349" s="27"/>
    </row>
    <row r="350" spans="1:20" s="53" customFormat="1" ht="78.75">
      <c r="A350" s="21">
        <v>801</v>
      </c>
      <c r="B350" s="22">
        <v>30128000</v>
      </c>
      <c r="C350" s="33" t="s">
        <v>364</v>
      </c>
      <c r="D350" s="30" t="s">
        <v>352</v>
      </c>
      <c r="E350" s="21"/>
      <c r="F350" s="24">
        <v>40544</v>
      </c>
      <c r="G350" s="25" t="s">
        <v>323</v>
      </c>
      <c r="H350" s="25" t="s">
        <v>149</v>
      </c>
      <c r="I350" s="25" t="s">
        <v>100</v>
      </c>
      <c r="J350" s="25" t="s">
        <v>38</v>
      </c>
      <c r="K350" s="25" t="s">
        <v>39</v>
      </c>
      <c r="L350" s="26">
        <f t="shared" si="20"/>
        <v>0</v>
      </c>
      <c r="M350" s="26">
        <v>15</v>
      </c>
      <c r="N350" s="26">
        <v>15</v>
      </c>
      <c r="O350" s="26">
        <v>0</v>
      </c>
      <c r="P350" s="26">
        <v>0</v>
      </c>
      <c r="Q350" s="26">
        <v>0</v>
      </c>
      <c r="R350" s="26">
        <v>0</v>
      </c>
      <c r="S350" s="26">
        <f>R350</f>
        <v>0</v>
      </c>
      <c r="T350" s="27">
        <v>300</v>
      </c>
    </row>
    <row r="351" spans="1:20" s="53" customFormat="1" ht="112.5">
      <c r="A351" s="21">
        <v>801</v>
      </c>
      <c r="B351" s="22">
        <v>30128000</v>
      </c>
      <c r="C351" s="33" t="s">
        <v>364</v>
      </c>
      <c r="D351" s="30" t="s">
        <v>189</v>
      </c>
      <c r="E351" s="21"/>
      <c r="F351" s="24">
        <v>40847</v>
      </c>
      <c r="G351" s="25" t="s">
        <v>323</v>
      </c>
      <c r="H351" s="25" t="s">
        <v>149</v>
      </c>
      <c r="I351" s="25" t="s">
        <v>76</v>
      </c>
      <c r="J351" s="25" t="s">
        <v>38</v>
      </c>
      <c r="K351" s="25" t="s">
        <v>39</v>
      </c>
      <c r="L351" s="26">
        <f t="shared" si="20"/>
        <v>100</v>
      </c>
      <c r="M351" s="26">
        <v>0</v>
      </c>
      <c r="N351" s="26">
        <v>0</v>
      </c>
      <c r="O351" s="26">
        <v>100</v>
      </c>
      <c r="P351" s="26">
        <v>0</v>
      </c>
      <c r="Q351" s="26">
        <v>0</v>
      </c>
      <c r="R351" s="26">
        <v>0</v>
      </c>
      <c r="S351" s="26">
        <v>0</v>
      </c>
      <c r="T351" s="27">
        <v>300</v>
      </c>
    </row>
    <row r="352" spans="1:20" s="53" customFormat="1" ht="78.75">
      <c r="A352" s="21">
        <v>801</v>
      </c>
      <c r="B352" s="22">
        <v>30128000</v>
      </c>
      <c r="C352" s="33" t="s">
        <v>364</v>
      </c>
      <c r="D352" s="30" t="s">
        <v>326</v>
      </c>
      <c r="E352" s="21"/>
      <c r="F352" s="24">
        <v>40544</v>
      </c>
      <c r="G352" s="25" t="s">
        <v>323</v>
      </c>
      <c r="H352" s="25" t="s">
        <v>155</v>
      </c>
      <c r="I352" s="25" t="s">
        <v>327</v>
      </c>
      <c r="J352" s="25" t="s">
        <v>38</v>
      </c>
      <c r="K352" s="25" t="s">
        <v>39</v>
      </c>
      <c r="L352" s="26">
        <f t="shared" si="20"/>
        <v>35</v>
      </c>
      <c r="M352" s="26">
        <v>38</v>
      </c>
      <c r="N352" s="26">
        <v>38</v>
      </c>
      <c r="O352" s="26">
        <v>35</v>
      </c>
      <c r="P352" s="26">
        <v>0</v>
      </c>
      <c r="Q352" s="26">
        <v>0</v>
      </c>
      <c r="R352" s="26">
        <v>0</v>
      </c>
      <c r="S352" s="26">
        <f>R352</f>
        <v>0</v>
      </c>
      <c r="T352" s="27">
        <v>300</v>
      </c>
    </row>
    <row r="353" spans="1:20" s="53" customFormat="1" ht="45">
      <c r="A353" s="21">
        <v>801</v>
      </c>
      <c r="B353" s="22">
        <v>30129000</v>
      </c>
      <c r="C353" s="33" t="s">
        <v>365</v>
      </c>
      <c r="D353" s="39" t="s">
        <v>382</v>
      </c>
      <c r="E353" s="19"/>
      <c r="F353" s="38">
        <v>40909</v>
      </c>
      <c r="G353" s="25" t="s">
        <v>323</v>
      </c>
      <c r="H353" s="25" t="s">
        <v>149</v>
      </c>
      <c r="I353" s="25" t="s">
        <v>381</v>
      </c>
      <c r="J353" s="25" t="s">
        <v>73</v>
      </c>
      <c r="K353" s="25" t="s">
        <v>39</v>
      </c>
      <c r="L353" s="26">
        <f t="shared" si="20"/>
        <v>2228</v>
      </c>
      <c r="M353" s="26">
        <v>1966.2</v>
      </c>
      <c r="N353" s="26">
        <v>1966.2</v>
      </c>
      <c r="O353" s="26">
        <v>2228</v>
      </c>
      <c r="P353" s="26">
        <v>557</v>
      </c>
      <c r="Q353" s="26">
        <v>2228</v>
      </c>
      <c r="R353" s="26">
        <v>2228</v>
      </c>
      <c r="S353" s="26">
        <f>R353</f>
        <v>2228</v>
      </c>
      <c r="T353" s="27"/>
    </row>
    <row r="354" spans="1:20" s="53" customFormat="1" ht="112.5">
      <c r="A354" s="21">
        <v>801</v>
      </c>
      <c r="B354" s="22">
        <v>30129000</v>
      </c>
      <c r="C354" s="33" t="s">
        <v>365</v>
      </c>
      <c r="D354" s="30" t="s">
        <v>189</v>
      </c>
      <c r="E354" s="21"/>
      <c r="F354" s="24">
        <v>40847</v>
      </c>
      <c r="G354" s="25" t="s">
        <v>323</v>
      </c>
      <c r="H354" s="25" t="s">
        <v>149</v>
      </c>
      <c r="I354" s="25" t="s">
        <v>76</v>
      </c>
      <c r="J354" s="25" t="s">
        <v>38</v>
      </c>
      <c r="K354" s="25" t="s">
        <v>39</v>
      </c>
      <c r="L354" s="26">
        <f t="shared" si="20"/>
        <v>500</v>
      </c>
      <c r="M354" s="26">
        <v>0</v>
      </c>
      <c r="N354" s="26">
        <v>0</v>
      </c>
      <c r="O354" s="26">
        <v>500</v>
      </c>
      <c r="P354" s="26">
        <v>0</v>
      </c>
      <c r="Q354" s="26">
        <v>0</v>
      </c>
      <c r="R354" s="26">
        <v>0</v>
      </c>
      <c r="S354" s="26">
        <v>0</v>
      </c>
      <c r="T354" s="27">
        <v>300</v>
      </c>
    </row>
    <row r="355" spans="1:20" s="53" customFormat="1" ht="78.75">
      <c r="A355" s="21">
        <v>801</v>
      </c>
      <c r="B355" s="22">
        <v>30129000</v>
      </c>
      <c r="C355" s="33" t="s">
        <v>365</v>
      </c>
      <c r="D355" s="30" t="s">
        <v>326</v>
      </c>
      <c r="E355" s="21"/>
      <c r="F355" s="24">
        <v>40544</v>
      </c>
      <c r="G355" s="25" t="s">
        <v>323</v>
      </c>
      <c r="H355" s="25" t="s">
        <v>155</v>
      </c>
      <c r="I355" s="25" t="s">
        <v>327</v>
      </c>
      <c r="J355" s="25" t="s">
        <v>38</v>
      </c>
      <c r="K355" s="25" t="s">
        <v>39</v>
      </c>
      <c r="L355" s="26">
        <f>O355</f>
        <v>45</v>
      </c>
      <c r="M355" s="26">
        <v>42</v>
      </c>
      <c r="N355" s="26">
        <v>42</v>
      </c>
      <c r="O355" s="26">
        <v>45</v>
      </c>
      <c r="P355" s="26">
        <v>10</v>
      </c>
      <c r="Q355" s="26">
        <v>0</v>
      </c>
      <c r="R355" s="26">
        <v>0</v>
      </c>
      <c r="S355" s="26">
        <f>R355</f>
        <v>0</v>
      </c>
      <c r="T355" s="27">
        <v>300</v>
      </c>
    </row>
    <row r="356" spans="1:20" s="53" customFormat="1" ht="56.25">
      <c r="A356" s="21">
        <v>801</v>
      </c>
      <c r="B356" s="22">
        <v>30136000</v>
      </c>
      <c r="C356" s="33" t="s">
        <v>366</v>
      </c>
      <c r="D356" s="30" t="s">
        <v>328</v>
      </c>
      <c r="E356" s="21"/>
      <c r="F356" s="24">
        <v>39814</v>
      </c>
      <c r="G356" s="25" t="s">
        <v>316</v>
      </c>
      <c r="H356" s="25" t="s">
        <v>280</v>
      </c>
      <c r="I356" s="25" t="s">
        <v>329</v>
      </c>
      <c r="J356" s="25" t="s">
        <v>73</v>
      </c>
      <c r="K356" s="25" t="s">
        <v>39</v>
      </c>
      <c r="L356" s="26">
        <f>O356</f>
        <v>0</v>
      </c>
      <c r="M356" s="26">
        <v>2342.11</v>
      </c>
      <c r="N356" s="26">
        <v>2342.11</v>
      </c>
      <c r="O356" s="26">
        <v>0</v>
      </c>
      <c r="P356" s="26">
        <v>0</v>
      </c>
      <c r="Q356" s="26">
        <v>0</v>
      </c>
      <c r="R356" s="26">
        <v>0</v>
      </c>
      <c r="S356" s="26">
        <f>R356</f>
        <v>0</v>
      </c>
      <c r="T356" s="27">
        <v>300</v>
      </c>
    </row>
    <row r="357" spans="1:20" s="53" customFormat="1" ht="78.75">
      <c r="A357" s="21">
        <v>801</v>
      </c>
      <c r="B357" s="22">
        <v>30136000</v>
      </c>
      <c r="C357" s="33" t="s">
        <v>366</v>
      </c>
      <c r="D357" s="30" t="s">
        <v>367</v>
      </c>
      <c r="E357" s="21"/>
      <c r="F357" s="24">
        <v>39814</v>
      </c>
      <c r="G357" s="25" t="s">
        <v>316</v>
      </c>
      <c r="H357" s="25" t="s">
        <v>280</v>
      </c>
      <c r="I357" s="25" t="s">
        <v>308</v>
      </c>
      <c r="J357" s="25" t="s">
        <v>368</v>
      </c>
      <c r="K357" s="25" t="s">
        <v>39</v>
      </c>
      <c r="L357" s="26">
        <f>O357</f>
        <v>2000</v>
      </c>
      <c r="M357" s="26">
        <v>2000</v>
      </c>
      <c r="N357" s="26">
        <v>2000</v>
      </c>
      <c r="O357" s="26">
        <v>2000</v>
      </c>
      <c r="P357" s="26">
        <v>0</v>
      </c>
      <c r="Q357" s="26">
        <v>2000</v>
      </c>
      <c r="R357" s="26">
        <v>0</v>
      </c>
      <c r="S357" s="26">
        <f>R357</f>
        <v>0</v>
      </c>
      <c r="T357" s="27">
        <v>300</v>
      </c>
    </row>
    <row r="358" spans="1:20" s="53" customFormat="1" ht="67.5">
      <c r="A358" s="21">
        <v>801</v>
      </c>
      <c r="B358" s="22">
        <v>30136000</v>
      </c>
      <c r="C358" s="33" t="s">
        <v>366</v>
      </c>
      <c r="D358" s="39" t="s">
        <v>369</v>
      </c>
      <c r="E358" s="19"/>
      <c r="F358" s="38">
        <v>40910</v>
      </c>
      <c r="G358" s="25" t="s">
        <v>316</v>
      </c>
      <c r="H358" s="25" t="s">
        <v>280</v>
      </c>
      <c r="I358" s="25" t="s">
        <v>370</v>
      </c>
      <c r="J358" s="25" t="s">
        <v>38</v>
      </c>
      <c r="K358" s="25" t="s">
        <v>39</v>
      </c>
      <c r="L358" s="26">
        <f>O358</f>
        <v>6000</v>
      </c>
      <c r="M358" s="26">
        <v>3227.15</v>
      </c>
      <c r="N358" s="26">
        <v>3030.022</v>
      </c>
      <c r="O358" s="26">
        <v>6000</v>
      </c>
      <c r="P358" s="26">
        <v>196.67000000000002</v>
      </c>
      <c r="Q358" s="26">
        <v>0</v>
      </c>
      <c r="R358" s="26">
        <v>0</v>
      </c>
      <c r="S358" s="26">
        <f>R358</f>
        <v>0</v>
      </c>
      <c r="T358" s="27">
        <v>300</v>
      </c>
    </row>
    <row r="359" spans="1:20" s="53" customFormat="1" ht="22.5">
      <c r="A359" s="21">
        <v>801</v>
      </c>
      <c r="B359" s="22">
        <v>30137000</v>
      </c>
      <c r="C359" s="28" t="s">
        <v>357</v>
      </c>
      <c r="D359" s="23"/>
      <c r="E359" s="21"/>
      <c r="F359" s="24"/>
      <c r="G359" s="25" t="s">
        <v>157</v>
      </c>
      <c r="H359" s="25" t="s">
        <v>157</v>
      </c>
      <c r="I359" s="25" t="s">
        <v>358</v>
      </c>
      <c r="J359" s="25" t="s">
        <v>31</v>
      </c>
      <c r="K359" s="25" t="s">
        <v>56</v>
      </c>
      <c r="L359" s="26">
        <f t="shared" si="18"/>
        <v>0</v>
      </c>
      <c r="M359" s="26">
        <v>13</v>
      </c>
      <c r="N359" s="26">
        <v>11.21</v>
      </c>
      <c r="O359" s="26">
        <v>0</v>
      </c>
      <c r="P359" s="26">
        <v>0</v>
      </c>
      <c r="Q359" s="26">
        <v>0</v>
      </c>
      <c r="R359" s="26">
        <v>0</v>
      </c>
      <c r="S359" s="26">
        <f t="shared" si="19"/>
        <v>0</v>
      </c>
      <c r="T359" s="27">
        <v>300</v>
      </c>
    </row>
    <row r="360" spans="1:20" s="53" customFormat="1" ht="22.5">
      <c r="A360" s="21">
        <v>801</v>
      </c>
      <c r="B360" s="22">
        <v>30137000</v>
      </c>
      <c r="C360" s="28" t="s">
        <v>357</v>
      </c>
      <c r="D360" s="23"/>
      <c r="E360" s="21"/>
      <c r="F360" s="24"/>
      <c r="G360" s="25" t="s">
        <v>157</v>
      </c>
      <c r="H360" s="25" t="s">
        <v>157</v>
      </c>
      <c r="I360" s="25" t="s">
        <v>358</v>
      </c>
      <c r="J360" s="25" t="s">
        <v>31</v>
      </c>
      <c r="K360" s="25" t="s">
        <v>60</v>
      </c>
      <c r="L360" s="26">
        <f t="shared" si="18"/>
        <v>0</v>
      </c>
      <c r="M360" s="26">
        <v>143.58</v>
      </c>
      <c r="N360" s="26">
        <v>141.06</v>
      </c>
      <c r="O360" s="26">
        <v>0</v>
      </c>
      <c r="P360" s="26">
        <v>0</v>
      </c>
      <c r="Q360" s="26">
        <v>0</v>
      </c>
      <c r="R360" s="26">
        <v>0</v>
      </c>
      <c r="S360" s="26">
        <f t="shared" si="19"/>
        <v>0</v>
      </c>
      <c r="T360" s="27">
        <v>300</v>
      </c>
    </row>
    <row r="361" spans="1:20" s="53" customFormat="1" ht="22.5">
      <c r="A361" s="21">
        <v>801</v>
      </c>
      <c r="B361" s="22">
        <v>30137000</v>
      </c>
      <c r="C361" s="28" t="s">
        <v>357</v>
      </c>
      <c r="D361" s="23"/>
      <c r="E361" s="21"/>
      <c r="F361" s="24"/>
      <c r="G361" s="25" t="s">
        <v>157</v>
      </c>
      <c r="H361" s="25" t="s">
        <v>157</v>
      </c>
      <c r="I361" s="25" t="s">
        <v>358</v>
      </c>
      <c r="J361" s="25" t="s">
        <v>31</v>
      </c>
      <c r="K361" s="25" t="s">
        <v>32</v>
      </c>
      <c r="L361" s="26">
        <f t="shared" si="18"/>
        <v>0</v>
      </c>
      <c r="M361" s="26">
        <v>113.67</v>
      </c>
      <c r="N361" s="26">
        <v>113.67</v>
      </c>
      <c r="O361" s="26">
        <v>0</v>
      </c>
      <c r="P361" s="26">
        <v>0</v>
      </c>
      <c r="Q361" s="26">
        <v>0</v>
      </c>
      <c r="R361" s="26">
        <v>0</v>
      </c>
      <c r="S361" s="26">
        <f t="shared" si="19"/>
        <v>0</v>
      </c>
      <c r="T361" s="27">
        <v>300</v>
      </c>
    </row>
    <row r="362" spans="1:20" s="53" customFormat="1" ht="22.5">
      <c r="A362" s="21">
        <v>801</v>
      </c>
      <c r="B362" s="22">
        <v>30137000</v>
      </c>
      <c r="C362" s="28" t="s">
        <v>357</v>
      </c>
      <c r="D362" s="23"/>
      <c r="E362" s="21"/>
      <c r="F362" s="24"/>
      <c r="G362" s="25" t="s">
        <v>157</v>
      </c>
      <c r="H362" s="25" t="s">
        <v>157</v>
      </c>
      <c r="I362" s="25" t="s">
        <v>358</v>
      </c>
      <c r="J362" s="25" t="s">
        <v>31</v>
      </c>
      <c r="K362" s="25" t="s">
        <v>101</v>
      </c>
      <c r="L362" s="26">
        <f t="shared" si="18"/>
        <v>0</v>
      </c>
      <c r="M362" s="26">
        <v>6.96</v>
      </c>
      <c r="N362" s="26">
        <v>6.96</v>
      </c>
      <c r="O362" s="26">
        <v>0</v>
      </c>
      <c r="P362" s="26">
        <v>0</v>
      </c>
      <c r="Q362" s="26">
        <v>0</v>
      </c>
      <c r="R362" s="26">
        <v>0</v>
      </c>
      <c r="S362" s="26">
        <f t="shared" si="19"/>
        <v>0</v>
      </c>
      <c r="T362" s="27"/>
    </row>
    <row r="363" spans="1:20" s="53" customFormat="1" ht="22.5">
      <c r="A363" s="21">
        <v>801</v>
      </c>
      <c r="B363" s="22">
        <v>30137000</v>
      </c>
      <c r="C363" s="28" t="s">
        <v>357</v>
      </c>
      <c r="D363" s="23"/>
      <c r="E363" s="21"/>
      <c r="F363" s="24"/>
      <c r="G363" s="25" t="s">
        <v>157</v>
      </c>
      <c r="H363" s="25" t="s">
        <v>157</v>
      </c>
      <c r="I363" s="25" t="s">
        <v>358</v>
      </c>
      <c r="J363" s="25" t="s">
        <v>31</v>
      </c>
      <c r="K363" s="25" t="s">
        <v>34</v>
      </c>
      <c r="L363" s="26">
        <f t="shared" si="18"/>
        <v>0</v>
      </c>
      <c r="M363" s="26">
        <v>22.79</v>
      </c>
      <c r="N363" s="26">
        <v>22.79</v>
      </c>
      <c r="O363" s="26">
        <v>0</v>
      </c>
      <c r="P363" s="26">
        <v>0</v>
      </c>
      <c r="Q363" s="26">
        <v>0</v>
      </c>
      <c r="R363" s="26">
        <v>0</v>
      </c>
      <c r="S363" s="26">
        <f t="shared" si="19"/>
        <v>0</v>
      </c>
      <c r="T363" s="27">
        <v>300</v>
      </c>
    </row>
    <row r="364" spans="1:20" ht="27.75" customHeight="1">
      <c r="A364" s="21">
        <v>801</v>
      </c>
      <c r="B364" s="22">
        <v>30137000</v>
      </c>
      <c r="C364" s="33" t="s">
        <v>357</v>
      </c>
      <c r="D364" s="127" t="s">
        <v>322</v>
      </c>
      <c r="E364" s="15"/>
      <c r="F364" s="24">
        <v>41275</v>
      </c>
      <c r="G364" s="25" t="s">
        <v>157</v>
      </c>
      <c r="H364" s="25" t="s">
        <v>157</v>
      </c>
      <c r="I364" s="25" t="s">
        <v>132</v>
      </c>
      <c r="J364" s="25" t="s">
        <v>31</v>
      </c>
      <c r="K364" s="25" t="s">
        <v>56</v>
      </c>
      <c r="L364" s="26">
        <f t="shared" si="18"/>
        <v>8</v>
      </c>
      <c r="M364" s="26">
        <v>0</v>
      </c>
      <c r="N364" s="26">
        <v>0</v>
      </c>
      <c r="O364" s="26">
        <v>8</v>
      </c>
      <c r="P364" s="26">
        <v>0</v>
      </c>
      <c r="Q364" s="26">
        <v>0</v>
      </c>
      <c r="R364" s="26">
        <v>0</v>
      </c>
      <c r="S364" s="26">
        <f t="shared" si="19"/>
        <v>0</v>
      </c>
      <c r="T364" s="27">
        <v>300</v>
      </c>
    </row>
    <row r="365" spans="1:20" ht="22.5">
      <c r="A365" s="21">
        <v>801</v>
      </c>
      <c r="B365" s="22">
        <v>30137000</v>
      </c>
      <c r="C365" s="33" t="s">
        <v>357</v>
      </c>
      <c r="D365" s="132"/>
      <c r="E365" s="15"/>
      <c r="F365" s="24"/>
      <c r="G365" s="25" t="s">
        <v>157</v>
      </c>
      <c r="H365" s="25" t="s">
        <v>157</v>
      </c>
      <c r="I365" s="25" t="s">
        <v>132</v>
      </c>
      <c r="J365" s="25" t="s">
        <v>31</v>
      </c>
      <c r="K365" s="25" t="s">
        <v>58</v>
      </c>
      <c r="L365" s="26">
        <f t="shared" si="18"/>
        <v>10</v>
      </c>
      <c r="M365" s="26">
        <v>0</v>
      </c>
      <c r="N365" s="26">
        <v>0</v>
      </c>
      <c r="O365" s="26">
        <v>10</v>
      </c>
      <c r="P365" s="26">
        <v>0</v>
      </c>
      <c r="Q365" s="26">
        <v>0</v>
      </c>
      <c r="R365" s="26">
        <v>0</v>
      </c>
      <c r="S365" s="26">
        <f t="shared" si="19"/>
        <v>0</v>
      </c>
      <c r="T365" s="27">
        <v>300</v>
      </c>
    </row>
    <row r="366" spans="1:20" ht="22.5">
      <c r="A366" s="21">
        <v>801</v>
      </c>
      <c r="B366" s="22">
        <v>30137000</v>
      </c>
      <c r="C366" s="33" t="s">
        <v>357</v>
      </c>
      <c r="D366" s="132"/>
      <c r="E366" s="15"/>
      <c r="F366" s="24"/>
      <c r="G366" s="25" t="s">
        <v>157</v>
      </c>
      <c r="H366" s="25" t="s">
        <v>157</v>
      </c>
      <c r="I366" s="25" t="s">
        <v>132</v>
      </c>
      <c r="J366" s="25" t="s">
        <v>31</v>
      </c>
      <c r="K366" s="25" t="s">
        <v>60</v>
      </c>
      <c r="L366" s="26">
        <f t="shared" si="18"/>
        <v>39</v>
      </c>
      <c r="M366" s="26">
        <v>0</v>
      </c>
      <c r="N366" s="26">
        <v>0</v>
      </c>
      <c r="O366" s="26">
        <v>39</v>
      </c>
      <c r="P366" s="26">
        <v>0</v>
      </c>
      <c r="Q366" s="26">
        <v>0</v>
      </c>
      <c r="R366" s="26">
        <v>0</v>
      </c>
      <c r="S366" s="26">
        <f t="shared" si="19"/>
        <v>0</v>
      </c>
      <c r="T366" s="27">
        <v>300</v>
      </c>
    </row>
    <row r="367" spans="1:20" ht="22.5">
      <c r="A367" s="21">
        <v>801</v>
      </c>
      <c r="B367" s="22">
        <v>30137000</v>
      </c>
      <c r="C367" s="33" t="s">
        <v>357</v>
      </c>
      <c r="D367" s="132"/>
      <c r="E367" s="15"/>
      <c r="F367" s="24"/>
      <c r="G367" s="25" t="s">
        <v>157</v>
      </c>
      <c r="H367" s="25" t="s">
        <v>157</v>
      </c>
      <c r="I367" s="25" t="s">
        <v>132</v>
      </c>
      <c r="J367" s="25" t="s">
        <v>31</v>
      </c>
      <c r="K367" s="25" t="s">
        <v>32</v>
      </c>
      <c r="L367" s="26">
        <f t="shared" si="18"/>
        <v>65</v>
      </c>
      <c r="M367" s="26">
        <v>0</v>
      </c>
      <c r="N367" s="26">
        <v>0</v>
      </c>
      <c r="O367" s="26">
        <v>65</v>
      </c>
      <c r="P367" s="26">
        <v>0</v>
      </c>
      <c r="Q367" s="26">
        <v>0</v>
      </c>
      <c r="R367" s="26">
        <v>0</v>
      </c>
      <c r="S367" s="26">
        <f t="shared" si="19"/>
        <v>0</v>
      </c>
      <c r="T367" s="27">
        <v>300</v>
      </c>
    </row>
    <row r="368" spans="1:20" ht="22.5">
      <c r="A368" s="21">
        <v>801</v>
      </c>
      <c r="B368" s="22">
        <v>30137000</v>
      </c>
      <c r="C368" s="33" t="s">
        <v>357</v>
      </c>
      <c r="D368" s="128"/>
      <c r="E368" s="15"/>
      <c r="F368" s="24"/>
      <c r="G368" s="25" t="s">
        <v>157</v>
      </c>
      <c r="H368" s="25" t="s">
        <v>157</v>
      </c>
      <c r="I368" s="25" t="s">
        <v>132</v>
      </c>
      <c r="J368" s="25" t="s">
        <v>31</v>
      </c>
      <c r="K368" s="25" t="s">
        <v>34</v>
      </c>
      <c r="L368" s="26">
        <f t="shared" si="18"/>
        <v>50</v>
      </c>
      <c r="M368" s="26">
        <v>0</v>
      </c>
      <c r="N368" s="26">
        <v>0</v>
      </c>
      <c r="O368" s="26">
        <v>50</v>
      </c>
      <c r="P368" s="26">
        <v>0</v>
      </c>
      <c r="Q368" s="26">
        <v>0</v>
      </c>
      <c r="R368" s="26">
        <v>0</v>
      </c>
      <c r="S368" s="26">
        <f t="shared" si="19"/>
        <v>0</v>
      </c>
      <c r="T368" s="27">
        <v>300</v>
      </c>
    </row>
    <row r="369" spans="1:20" s="53" customFormat="1" ht="67.5">
      <c r="A369" s="21">
        <v>801</v>
      </c>
      <c r="B369" s="22">
        <v>30143000</v>
      </c>
      <c r="C369" s="33" t="s">
        <v>377</v>
      </c>
      <c r="D369" s="30" t="s">
        <v>378</v>
      </c>
      <c r="E369" s="21"/>
      <c r="F369" s="24">
        <v>40544</v>
      </c>
      <c r="G369" s="25" t="s">
        <v>153</v>
      </c>
      <c r="H369" s="25" t="s">
        <v>152</v>
      </c>
      <c r="I369" s="25" t="s">
        <v>379</v>
      </c>
      <c r="J369" s="25" t="s">
        <v>31</v>
      </c>
      <c r="K369" s="25" t="s">
        <v>32</v>
      </c>
      <c r="L369" s="26">
        <f t="shared" si="18"/>
        <v>10</v>
      </c>
      <c r="M369" s="26">
        <v>10</v>
      </c>
      <c r="N369" s="26">
        <v>0</v>
      </c>
      <c r="O369" s="26">
        <v>10</v>
      </c>
      <c r="P369" s="26">
        <v>0</v>
      </c>
      <c r="Q369" s="26">
        <v>0</v>
      </c>
      <c r="R369" s="26">
        <v>0</v>
      </c>
      <c r="S369" s="26">
        <f t="shared" si="19"/>
        <v>0</v>
      </c>
      <c r="T369" s="27">
        <v>300</v>
      </c>
    </row>
    <row r="370" spans="1:20" s="53" customFormat="1" ht="78.75">
      <c r="A370" s="21">
        <v>801</v>
      </c>
      <c r="B370" s="22">
        <v>30182000</v>
      </c>
      <c r="C370" s="33" t="s">
        <v>162</v>
      </c>
      <c r="D370" s="30" t="s">
        <v>380</v>
      </c>
      <c r="E370" s="21"/>
      <c r="F370" s="24">
        <v>40544</v>
      </c>
      <c r="G370" s="25" t="s">
        <v>280</v>
      </c>
      <c r="H370" s="25" t="s">
        <v>156</v>
      </c>
      <c r="I370" s="25" t="s">
        <v>86</v>
      </c>
      <c r="J370" s="25" t="s">
        <v>289</v>
      </c>
      <c r="K370" s="25" t="s">
        <v>59</v>
      </c>
      <c r="L370" s="26">
        <f t="shared" si="18"/>
        <v>3617.9</v>
      </c>
      <c r="M370" s="26">
        <v>0</v>
      </c>
      <c r="N370" s="26">
        <v>0</v>
      </c>
      <c r="O370" s="26">
        <v>3617.9</v>
      </c>
      <c r="P370" s="26">
        <v>0</v>
      </c>
      <c r="Q370" s="26"/>
      <c r="R370" s="26"/>
      <c r="S370" s="26">
        <f t="shared" si="19"/>
        <v>0</v>
      </c>
      <c r="T370" s="27">
        <v>300</v>
      </c>
    </row>
    <row r="371" spans="1:20" s="53" customFormat="1" ht="56.25">
      <c r="A371" s="21">
        <v>801</v>
      </c>
      <c r="B371" s="22">
        <v>30200000</v>
      </c>
      <c r="C371" s="33" t="s">
        <v>373</v>
      </c>
      <c r="D371" s="30" t="s">
        <v>374</v>
      </c>
      <c r="E371" s="21"/>
      <c r="F371" s="24">
        <v>40909</v>
      </c>
      <c r="G371" s="25" t="s">
        <v>153</v>
      </c>
      <c r="H371" s="25" t="s">
        <v>154</v>
      </c>
      <c r="I371" s="25" t="s">
        <v>375</v>
      </c>
      <c r="J371" s="25" t="s">
        <v>31</v>
      </c>
      <c r="K371" s="25" t="s">
        <v>376</v>
      </c>
      <c r="L371" s="26">
        <f t="shared" si="18"/>
        <v>0</v>
      </c>
      <c r="M371" s="26">
        <v>256.9</v>
      </c>
      <c r="N371" s="26">
        <v>256.9</v>
      </c>
      <c r="O371" s="26">
        <v>0</v>
      </c>
      <c r="P371" s="26">
        <v>0</v>
      </c>
      <c r="Q371" s="26">
        <v>0</v>
      </c>
      <c r="R371" s="26">
        <v>0</v>
      </c>
      <c r="S371" s="26">
        <f t="shared" si="19"/>
        <v>0</v>
      </c>
      <c r="T371" s="27">
        <v>300</v>
      </c>
    </row>
    <row r="372" spans="1:20" s="53" customFormat="1" ht="22.5">
      <c r="A372" s="21">
        <v>801</v>
      </c>
      <c r="B372" s="22">
        <v>30302000</v>
      </c>
      <c r="C372" s="28" t="s">
        <v>371</v>
      </c>
      <c r="D372" s="23"/>
      <c r="E372" s="21"/>
      <c r="F372" s="24"/>
      <c r="G372" s="25" t="s">
        <v>149</v>
      </c>
      <c r="H372" s="25" t="s">
        <v>280</v>
      </c>
      <c r="I372" s="25" t="s">
        <v>372</v>
      </c>
      <c r="J372" s="25" t="s">
        <v>31</v>
      </c>
      <c r="K372" s="25" t="s">
        <v>60</v>
      </c>
      <c r="L372" s="26">
        <f t="shared" si="18"/>
        <v>0</v>
      </c>
      <c r="M372" s="26">
        <v>33.1</v>
      </c>
      <c r="N372" s="26">
        <v>0</v>
      </c>
      <c r="O372" s="26">
        <v>0</v>
      </c>
      <c r="P372" s="26">
        <v>0</v>
      </c>
      <c r="Q372" s="26">
        <v>0</v>
      </c>
      <c r="R372" s="26">
        <v>0</v>
      </c>
      <c r="S372" s="26">
        <f t="shared" si="19"/>
        <v>0</v>
      </c>
      <c r="T372" s="27">
        <v>300</v>
      </c>
    </row>
    <row r="373" spans="1:20" s="53" customFormat="1" ht="56.25">
      <c r="A373" s="21">
        <v>801</v>
      </c>
      <c r="B373" s="22">
        <v>30304000</v>
      </c>
      <c r="C373" s="33" t="s">
        <v>223</v>
      </c>
      <c r="D373" s="30" t="s">
        <v>317</v>
      </c>
      <c r="E373" s="21"/>
      <c r="F373" s="24">
        <v>39797</v>
      </c>
      <c r="G373" s="25" t="s">
        <v>158</v>
      </c>
      <c r="H373" s="25" t="s">
        <v>161</v>
      </c>
      <c r="I373" s="25" t="s">
        <v>226</v>
      </c>
      <c r="J373" s="25" t="s">
        <v>73</v>
      </c>
      <c r="K373" s="25" t="s">
        <v>39</v>
      </c>
      <c r="L373" s="26">
        <f t="shared" si="18"/>
        <v>443.7</v>
      </c>
      <c r="M373" s="26">
        <v>350</v>
      </c>
      <c r="N373" s="26">
        <v>350</v>
      </c>
      <c r="O373" s="26">
        <v>443.7</v>
      </c>
      <c r="P373" s="26">
        <v>110.93</v>
      </c>
      <c r="Q373" s="26">
        <v>443.7</v>
      </c>
      <c r="R373" s="26">
        <v>443.7</v>
      </c>
      <c r="S373" s="26">
        <f t="shared" si="19"/>
        <v>443.7</v>
      </c>
      <c r="T373" s="27">
        <v>300</v>
      </c>
    </row>
    <row r="374" spans="1:20" s="53" customFormat="1" ht="117" customHeight="1">
      <c r="A374" s="21">
        <v>801</v>
      </c>
      <c r="B374" s="22">
        <v>30305000</v>
      </c>
      <c r="C374" s="33" t="s">
        <v>398</v>
      </c>
      <c r="D374" s="127" t="s">
        <v>397</v>
      </c>
      <c r="E374" s="21"/>
      <c r="F374" s="24">
        <v>38971</v>
      </c>
      <c r="G374" s="25" t="s">
        <v>149</v>
      </c>
      <c r="H374" s="25" t="s">
        <v>155</v>
      </c>
      <c r="I374" s="25" t="s">
        <v>399</v>
      </c>
      <c r="J374" s="25" t="s">
        <v>31</v>
      </c>
      <c r="K374" s="25" t="s">
        <v>52</v>
      </c>
      <c r="L374" s="26">
        <f t="shared" si="18"/>
        <v>177.5</v>
      </c>
      <c r="M374" s="26">
        <v>174.46</v>
      </c>
      <c r="N374" s="26">
        <v>174.46</v>
      </c>
      <c r="O374" s="26">
        <v>177.5</v>
      </c>
      <c r="P374" s="26">
        <v>29.79</v>
      </c>
      <c r="Q374" s="26">
        <v>177.5</v>
      </c>
      <c r="R374" s="26">
        <v>177.5</v>
      </c>
      <c r="S374" s="26">
        <f t="shared" si="19"/>
        <v>177.5</v>
      </c>
      <c r="T374" s="27">
        <v>300</v>
      </c>
    </row>
    <row r="375" spans="1:20" s="53" customFormat="1" ht="22.5">
      <c r="A375" s="21">
        <v>801</v>
      </c>
      <c r="B375" s="22">
        <v>30305000</v>
      </c>
      <c r="C375" s="33" t="s">
        <v>398</v>
      </c>
      <c r="D375" s="128"/>
      <c r="E375" s="21"/>
      <c r="F375" s="24"/>
      <c r="G375" s="25" t="s">
        <v>149</v>
      </c>
      <c r="H375" s="25" t="s">
        <v>155</v>
      </c>
      <c r="I375" s="25" t="s">
        <v>399</v>
      </c>
      <c r="J375" s="25" t="s">
        <v>31</v>
      </c>
      <c r="K375" s="25" t="s">
        <v>54</v>
      </c>
      <c r="L375" s="26">
        <f t="shared" si="18"/>
        <v>53.6</v>
      </c>
      <c r="M375" s="26">
        <v>56.74</v>
      </c>
      <c r="N375" s="26">
        <v>56.74</v>
      </c>
      <c r="O375" s="26">
        <v>53.6</v>
      </c>
      <c r="P375" s="26">
        <v>9</v>
      </c>
      <c r="Q375" s="26">
        <v>53.6</v>
      </c>
      <c r="R375" s="26">
        <v>53.6</v>
      </c>
      <c r="S375" s="26">
        <f t="shared" si="19"/>
        <v>53.6</v>
      </c>
      <c r="T375" s="27">
        <v>300</v>
      </c>
    </row>
    <row r="376" spans="1:20" s="53" customFormat="1" ht="56.25">
      <c r="A376" s="21">
        <v>801</v>
      </c>
      <c r="B376" s="22">
        <v>30306000</v>
      </c>
      <c r="C376" s="33" t="s">
        <v>383</v>
      </c>
      <c r="D376" s="30" t="s">
        <v>384</v>
      </c>
      <c r="E376" s="21"/>
      <c r="F376" s="24">
        <v>39141</v>
      </c>
      <c r="G376" s="25" t="s">
        <v>149</v>
      </c>
      <c r="H376" s="25" t="s">
        <v>155</v>
      </c>
      <c r="I376" s="25" t="s">
        <v>385</v>
      </c>
      <c r="J376" s="25" t="s">
        <v>31</v>
      </c>
      <c r="K376" s="25" t="s">
        <v>52</v>
      </c>
      <c r="L376" s="26">
        <f t="shared" si="18"/>
        <v>258.56</v>
      </c>
      <c r="M376" s="26">
        <v>252.77</v>
      </c>
      <c r="N376" s="26">
        <v>252.77</v>
      </c>
      <c r="O376" s="26">
        <v>258.56</v>
      </c>
      <c r="P376" s="26">
        <v>31.98</v>
      </c>
      <c r="Q376" s="26">
        <v>258.56</v>
      </c>
      <c r="R376" s="26">
        <v>258.56</v>
      </c>
      <c r="S376" s="26">
        <f t="shared" si="19"/>
        <v>258.56</v>
      </c>
      <c r="T376" s="27">
        <v>300</v>
      </c>
    </row>
    <row r="377" spans="1:20" s="53" customFormat="1" ht="39" customHeight="1">
      <c r="A377" s="21">
        <v>801</v>
      </c>
      <c r="B377" s="22">
        <v>30306000</v>
      </c>
      <c r="C377" s="33" t="s">
        <v>383</v>
      </c>
      <c r="D377" s="133" t="s">
        <v>386</v>
      </c>
      <c r="E377" s="21"/>
      <c r="F377" s="24">
        <v>38774</v>
      </c>
      <c r="G377" s="25" t="s">
        <v>149</v>
      </c>
      <c r="H377" s="25" t="s">
        <v>155</v>
      </c>
      <c r="I377" s="25" t="s">
        <v>385</v>
      </c>
      <c r="J377" s="25" t="s">
        <v>31</v>
      </c>
      <c r="K377" s="25" t="s">
        <v>54</v>
      </c>
      <c r="L377" s="26">
        <f t="shared" si="18"/>
        <v>78.10000000000001</v>
      </c>
      <c r="M377" s="26">
        <v>77.54</v>
      </c>
      <c r="N377" s="26">
        <v>77.54</v>
      </c>
      <c r="O377" s="26">
        <v>78.10000000000001</v>
      </c>
      <c r="P377" s="26">
        <v>15.66</v>
      </c>
      <c r="Q377" s="26">
        <v>78.10000000000001</v>
      </c>
      <c r="R377" s="26">
        <v>78.10000000000001</v>
      </c>
      <c r="S377" s="26">
        <f t="shared" si="19"/>
        <v>78.10000000000001</v>
      </c>
      <c r="T377" s="27">
        <v>300</v>
      </c>
    </row>
    <row r="378" spans="1:20" s="53" customFormat="1" ht="33.75">
      <c r="A378" s="21">
        <v>801</v>
      </c>
      <c r="B378" s="22">
        <v>30306000</v>
      </c>
      <c r="C378" s="33" t="s">
        <v>383</v>
      </c>
      <c r="D378" s="134"/>
      <c r="E378" s="21"/>
      <c r="F378" s="24"/>
      <c r="G378" s="25" t="s">
        <v>149</v>
      </c>
      <c r="H378" s="25" t="s">
        <v>155</v>
      </c>
      <c r="I378" s="25" t="s">
        <v>385</v>
      </c>
      <c r="J378" s="25" t="s">
        <v>31</v>
      </c>
      <c r="K378" s="25" t="s">
        <v>55</v>
      </c>
      <c r="L378" s="26">
        <f t="shared" si="18"/>
        <v>0</v>
      </c>
      <c r="M378" s="26">
        <v>10.540000000000001</v>
      </c>
      <c r="N378" s="26">
        <v>10.540000000000001</v>
      </c>
      <c r="O378" s="26">
        <v>0</v>
      </c>
      <c r="P378" s="26">
        <v>0</v>
      </c>
      <c r="Q378" s="26">
        <v>0</v>
      </c>
      <c r="R378" s="26">
        <v>0</v>
      </c>
      <c r="S378" s="26">
        <f t="shared" si="19"/>
        <v>0</v>
      </c>
      <c r="T378" s="27">
        <v>300</v>
      </c>
    </row>
    <row r="379" spans="1:20" s="53" customFormat="1" ht="33.75">
      <c r="A379" s="21">
        <v>801</v>
      </c>
      <c r="B379" s="22">
        <v>30306000</v>
      </c>
      <c r="C379" s="33" t="s">
        <v>383</v>
      </c>
      <c r="D379" s="135"/>
      <c r="E379" s="21"/>
      <c r="F379" s="24"/>
      <c r="G379" s="25" t="s">
        <v>149</v>
      </c>
      <c r="H379" s="25" t="s">
        <v>155</v>
      </c>
      <c r="I379" s="25" t="s">
        <v>385</v>
      </c>
      <c r="J379" s="25" t="s">
        <v>31</v>
      </c>
      <c r="K379" s="25" t="s">
        <v>60</v>
      </c>
      <c r="L379" s="26">
        <f t="shared" si="18"/>
        <v>125.54</v>
      </c>
      <c r="M379" s="26">
        <v>121.35000000000001</v>
      </c>
      <c r="N379" s="26">
        <v>121.35000000000001</v>
      </c>
      <c r="O379" s="26">
        <v>125.54</v>
      </c>
      <c r="P379" s="26">
        <v>20.5</v>
      </c>
      <c r="Q379" s="26">
        <v>125.54</v>
      </c>
      <c r="R379" s="26">
        <v>125.54</v>
      </c>
      <c r="S379" s="26">
        <f t="shared" si="19"/>
        <v>125.54</v>
      </c>
      <c r="T379" s="27">
        <v>300</v>
      </c>
    </row>
    <row r="380" spans="1:20" s="53" customFormat="1" ht="33.75">
      <c r="A380" s="21">
        <v>801</v>
      </c>
      <c r="B380" s="22">
        <v>30307000</v>
      </c>
      <c r="C380" s="28" t="s">
        <v>400</v>
      </c>
      <c r="D380" s="23"/>
      <c r="E380" s="21"/>
      <c r="F380" s="24"/>
      <c r="G380" s="25" t="s">
        <v>149</v>
      </c>
      <c r="H380" s="25" t="s">
        <v>155</v>
      </c>
      <c r="I380" s="25" t="s">
        <v>401</v>
      </c>
      <c r="J380" s="25" t="s">
        <v>31</v>
      </c>
      <c r="K380" s="25" t="s">
        <v>34</v>
      </c>
      <c r="L380" s="26">
        <f t="shared" si="18"/>
        <v>0.4</v>
      </c>
      <c r="M380" s="26">
        <v>0.4</v>
      </c>
      <c r="N380" s="26">
        <v>0.4</v>
      </c>
      <c r="O380" s="26">
        <v>0.4</v>
      </c>
      <c r="P380" s="26">
        <v>0</v>
      </c>
      <c r="Q380" s="26">
        <v>0.4</v>
      </c>
      <c r="R380" s="26">
        <v>0.4</v>
      </c>
      <c r="S380" s="26">
        <f t="shared" si="19"/>
        <v>0.4</v>
      </c>
      <c r="T380" s="27">
        <v>300</v>
      </c>
    </row>
    <row r="381" spans="1:20" s="53" customFormat="1" ht="28.5" customHeight="1">
      <c r="A381" s="21">
        <v>801</v>
      </c>
      <c r="B381" s="22">
        <v>30308000</v>
      </c>
      <c r="C381" s="33" t="s">
        <v>387</v>
      </c>
      <c r="D381" s="133" t="s">
        <v>388</v>
      </c>
      <c r="E381" s="21"/>
      <c r="F381" s="24">
        <v>38936</v>
      </c>
      <c r="G381" s="25" t="s">
        <v>149</v>
      </c>
      <c r="H381" s="25" t="s">
        <v>155</v>
      </c>
      <c r="I381" s="25" t="s">
        <v>389</v>
      </c>
      <c r="J381" s="25" t="s">
        <v>31</v>
      </c>
      <c r="K381" s="25" t="s">
        <v>55</v>
      </c>
      <c r="L381" s="26">
        <f t="shared" si="18"/>
        <v>10.82</v>
      </c>
      <c r="M381" s="26">
        <v>9.620000000000001</v>
      </c>
      <c r="N381" s="26">
        <v>9.620000000000001</v>
      </c>
      <c r="O381" s="26">
        <v>10.82</v>
      </c>
      <c r="P381" s="26">
        <v>0.76</v>
      </c>
      <c r="Q381" s="26">
        <v>10.8</v>
      </c>
      <c r="R381" s="26">
        <v>10.8</v>
      </c>
      <c r="S381" s="26">
        <f t="shared" si="19"/>
        <v>10.8</v>
      </c>
      <c r="T381" s="27">
        <v>300</v>
      </c>
    </row>
    <row r="382" spans="1:20" s="53" customFormat="1" ht="11.25">
      <c r="A382" s="21">
        <v>801</v>
      </c>
      <c r="B382" s="22">
        <v>30308000</v>
      </c>
      <c r="C382" s="33" t="s">
        <v>387</v>
      </c>
      <c r="D382" s="134"/>
      <c r="E382" s="21"/>
      <c r="F382" s="24"/>
      <c r="G382" s="25" t="s">
        <v>149</v>
      </c>
      <c r="H382" s="25" t="s">
        <v>155</v>
      </c>
      <c r="I382" s="25" t="s">
        <v>389</v>
      </c>
      <c r="J382" s="25" t="s">
        <v>31</v>
      </c>
      <c r="K382" s="25" t="s">
        <v>59</v>
      </c>
      <c r="L382" s="26">
        <f t="shared" si="18"/>
        <v>96.4</v>
      </c>
      <c r="M382" s="26">
        <v>18.85</v>
      </c>
      <c r="N382" s="26">
        <v>18.85</v>
      </c>
      <c r="O382" s="26">
        <v>96.4</v>
      </c>
      <c r="P382" s="26">
        <v>0</v>
      </c>
      <c r="Q382" s="26">
        <v>65</v>
      </c>
      <c r="R382" s="26">
        <v>65</v>
      </c>
      <c r="S382" s="26">
        <f t="shared" si="19"/>
        <v>65</v>
      </c>
      <c r="T382" s="27">
        <v>300</v>
      </c>
    </row>
    <row r="383" spans="1:20" s="53" customFormat="1" ht="11.25">
      <c r="A383" s="21">
        <v>801</v>
      </c>
      <c r="B383" s="22">
        <v>30308000</v>
      </c>
      <c r="C383" s="33" t="s">
        <v>387</v>
      </c>
      <c r="D383" s="134"/>
      <c r="E383" s="21"/>
      <c r="F383" s="24"/>
      <c r="G383" s="25" t="s">
        <v>149</v>
      </c>
      <c r="H383" s="25" t="s">
        <v>155</v>
      </c>
      <c r="I383" s="25" t="s">
        <v>389</v>
      </c>
      <c r="J383" s="25" t="s">
        <v>31</v>
      </c>
      <c r="K383" s="25" t="s">
        <v>60</v>
      </c>
      <c r="L383" s="26">
        <f t="shared" si="18"/>
        <v>52.78</v>
      </c>
      <c r="M383" s="26">
        <v>50.43</v>
      </c>
      <c r="N383" s="26">
        <v>50.43</v>
      </c>
      <c r="O383" s="26">
        <v>52.78</v>
      </c>
      <c r="P383" s="26">
        <v>0</v>
      </c>
      <c r="Q383" s="26">
        <v>52.7</v>
      </c>
      <c r="R383" s="26">
        <v>52.7</v>
      </c>
      <c r="S383" s="26">
        <f t="shared" si="19"/>
        <v>52.7</v>
      </c>
      <c r="T383" s="27">
        <v>300</v>
      </c>
    </row>
    <row r="384" spans="1:20" s="53" customFormat="1" ht="11.25">
      <c r="A384" s="21">
        <v>801</v>
      </c>
      <c r="B384" s="22">
        <v>30308000</v>
      </c>
      <c r="C384" s="33" t="s">
        <v>387</v>
      </c>
      <c r="D384" s="134"/>
      <c r="E384" s="21"/>
      <c r="F384" s="24"/>
      <c r="G384" s="25" t="s">
        <v>149</v>
      </c>
      <c r="H384" s="25" t="s">
        <v>155</v>
      </c>
      <c r="I384" s="25" t="s">
        <v>389</v>
      </c>
      <c r="J384" s="25" t="s">
        <v>31</v>
      </c>
      <c r="K384" s="25" t="s">
        <v>101</v>
      </c>
      <c r="L384" s="26">
        <f t="shared" si="18"/>
        <v>0</v>
      </c>
      <c r="M384" s="26">
        <v>4.4</v>
      </c>
      <c r="N384" s="26">
        <v>4.4</v>
      </c>
      <c r="O384" s="26">
        <v>0</v>
      </c>
      <c r="P384" s="26">
        <v>0</v>
      </c>
      <c r="Q384" s="26">
        <v>0</v>
      </c>
      <c r="R384" s="26">
        <v>0</v>
      </c>
      <c r="S384" s="26">
        <f t="shared" si="19"/>
        <v>0</v>
      </c>
      <c r="T384" s="27">
        <v>300</v>
      </c>
    </row>
    <row r="385" spans="1:20" s="53" customFormat="1" ht="11.25">
      <c r="A385" s="21">
        <v>801</v>
      </c>
      <c r="B385" s="22">
        <v>30308000</v>
      </c>
      <c r="C385" s="33" t="s">
        <v>387</v>
      </c>
      <c r="D385" s="135"/>
      <c r="E385" s="21"/>
      <c r="F385" s="24"/>
      <c r="G385" s="25" t="s">
        <v>149</v>
      </c>
      <c r="H385" s="25" t="s">
        <v>155</v>
      </c>
      <c r="I385" s="25" t="s">
        <v>389</v>
      </c>
      <c r="J385" s="25" t="s">
        <v>31</v>
      </c>
      <c r="K385" s="25" t="s">
        <v>34</v>
      </c>
      <c r="L385" s="26">
        <f t="shared" si="18"/>
        <v>54.5</v>
      </c>
      <c r="M385" s="26">
        <v>45.2</v>
      </c>
      <c r="N385" s="26">
        <v>45.2</v>
      </c>
      <c r="O385" s="26">
        <v>54.5</v>
      </c>
      <c r="P385" s="26">
        <v>0</v>
      </c>
      <c r="Q385" s="26">
        <v>0</v>
      </c>
      <c r="R385" s="26">
        <v>0</v>
      </c>
      <c r="S385" s="26">
        <f t="shared" si="19"/>
        <v>0</v>
      </c>
      <c r="T385" s="27">
        <v>300</v>
      </c>
    </row>
    <row r="386" spans="1:20" s="53" customFormat="1" ht="56.25">
      <c r="A386" s="21">
        <v>801</v>
      </c>
      <c r="B386" s="22">
        <v>30309000</v>
      </c>
      <c r="C386" s="33" t="s">
        <v>390</v>
      </c>
      <c r="D386" s="30" t="s">
        <v>391</v>
      </c>
      <c r="E386" s="21"/>
      <c r="F386" s="24">
        <v>38460</v>
      </c>
      <c r="G386" s="25" t="s">
        <v>149</v>
      </c>
      <c r="H386" s="25" t="s">
        <v>155</v>
      </c>
      <c r="I386" s="25" t="s">
        <v>392</v>
      </c>
      <c r="J386" s="25" t="s">
        <v>31</v>
      </c>
      <c r="K386" s="25" t="s">
        <v>52</v>
      </c>
      <c r="L386" s="26">
        <f t="shared" si="18"/>
        <v>242</v>
      </c>
      <c r="M386" s="26">
        <v>247.58</v>
      </c>
      <c r="N386" s="26">
        <v>233.11</v>
      </c>
      <c r="O386" s="26">
        <v>242</v>
      </c>
      <c r="P386" s="26">
        <v>40.230000000000004</v>
      </c>
      <c r="Q386" s="26">
        <v>242</v>
      </c>
      <c r="R386" s="26">
        <v>242</v>
      </c>
      <c r="S386" s="26">
        <f t="shared" si="19"/>
        <v>242</v>
      </c>
      <c r="T386" s="27">
        <v>300</v>
      </c>
    </row>
    <row r="387" spans="1:20" s="53" customFormat="1" ht="78.75" customHeight="1">
      <c r="A387" s="21">
        <v>801</v>
      </c>
      <c r="B387" s="22">
        <v>30309000</v>
      </c>
      <c r="C387" s="33" t="s">
        <v>390</v>
      </c>
      <c r="D387" s="127" t="s">
        <v>393</v>
      </c>
      <c r="E387" s="21"/>
      <c r="F387" s="24">
        <v>39083</v>
      </c>
      <c r="G387" s="25" t="s">
        <v>149</v>
      </c>
      <c r="H387" s="25" t="s">
        <v>155</v>
      </c>
      <c r="I387" s="25" t="s">
        <v>392</v>
      </c>
      <c r="J387" s="25" t="s">
        <v>31</v>
      </c>
      <c r="K387" s="25" t="s">
        <v>54</v>
      </c>
      <c r="L387" s="26">
        <f t="shared" si="18"/>
        <v>73.3</v>
      </c>
      <c r="M387" s="26">
        <v>79.73</v>
      </c>
      <c r="N387" s="26">
        <v>79.71000000000001</v>
      </c>
      <c r="O387" s="26">
        <v>73.3</v>
      </c>
      <c r="P387" s="26">
        <v>11.44</v>
      </c>
      <c r="Q387" s="26">
        <v>73.3</v>
      </c>
      <c r="R387" s="26">
        <v>73.3</v>
      </c>
      <c r="S387" s="26">
        <f t="shared" si="19"/>
        <v>73.3</v>
      </c>
      <c r="T387" s="27">
        <v>300</v>
      </c>
    </row>
    <row r="388" spans="1:20" s="53" customFormat="1" ht="22.5">
      <c r="A388" s="21">
        <v>801</v>
      </c>
      <c r="B388" s="22">
        <v>30309000</v>
      </c>
      <c r="C388" s="33" t="s">
        <v>390</v>
      </c>
      <c r="D388" s="132"/>
      <c r="E388" s="21"/>
      <c r="F388" s="24"/>
      <c r="G388" s="25" t="s">
        <v>149</v>
      </c>
      <c r="H388" s="25" t="s">
        <v>155</v>
      </c>
      <c r="I388" s="25" t="s">
        <v>392</v>
      </c>
      <c r="J388" s="25" t="s">
        <v>31</v>
      </c>
      <c r="K388" s="25" t="s">
        <v>55</v>
      </c>
      <c r="L388" s="26">
        <f t="shared" si="18"/>
        <v>0</v>
      </c>
      <c r="M388" s="26">
        <v>12.3</v>
      </c>
      <c r="N388" s="26">
        <v>12.290000000000001</v>
      </c>
      <c r="O388" s="26">
        <v>0</v>
      </c>
      <c r="P388" s="26">
        <v>0</v>
      </c>
      <c r="Q388" s="26">
        <v>0</v>
      </c>
      <c r="R388" s="26">
        <v>0</v>
      </c>
      <c r="S388" s="26">
        <f t="shared" si="19"/>
        <v>0</v>
      </c>
      <c r="T388" s="27">
        <v>300</v>
      </c>
    </row>
    <row r="389" spans="1:20" s="53" customFormat="1" ht="22.5">
      <c r="A389" s="21">
        <v>801</v>
      </c>
      <c r="B389" s="22">
        <v>30309000</v>
      </c>
      <c r="C389" s="33" t="s">
        <v>390</v>
      </c>
      <c r="D389" s="132"/>
      <c r="E389" s="21"/>
      <c r="F389" s="24"/>
      <c r="G389" s="25" t="s">
        <v>149</v>
      </c>
      <c r="H389" s="25" t="s">
        <v>155</v>
      </c>
      <c r="I389" s="25" t="s">
        <v>392</v>
      </c>
      <c r="J389" s="25" t="s">
        <v>31</v>
      </c>
      <c r="K389" s="25" t="s">
        <v>59</v>
      </c>
      <c r="L389" s="26">
        <f t="shared" si="18"/>
        <v>0</v>
      </c>
      <c r="M389" s="26">
        <v>5.9</v>
      </c>
      <c r="N389" s="26">
        <v>5.9</v>
      </c>
      <c r="O389" s="26">
        <v>0</v>
      </c>
      <c r="P389" s="26">
        <v>0</v>
      </c>
      <c r="Q389" s="26">
        <v>0</v>
      </c>
      <c r="R389" s="26">
        <v>0</v>
      </c>
      <c r="S389" s="26">
        <f t="shared" si="19"/>
        <v>0</v>
      </c>
      <c r="T389" s="27">
        <v>300</v>
      </c>
    </row>
    <row r="390" spans="1:20" s="53" customFormat="1" ht="22.5">
      <c r="A390" s="21">
        <v>801</v>
      </c>
      <c r="B390" s="22">
        <v>30309000</v>
      </c>
      <c r="C390" s="33" t="s">
        <v>390</v>
      </c>
      <c r="D390" s="132"/>
      <c r="E390" s="21"/>
      <c r="F390" s="24"/>
      <c r="G390" s="25" t="s">
        <v>149</v>
      </c>
      <c r="H390" s="25" t="s">
        <v>155</v>
      </c>
      <c r="I390" s="25" t="s">
        <v>392</v>
      </c>
      <c r="J390" s="25" t="s">
        <v>31</v>
      </c>
      <c r="K390" s="25" t="s">
        <v>60</v>
      </c>
      <c r="L390" s="26">
        <f t="shared" si="18"/>
        <v>0</v>
      </c>
      <c r="M390" s="26">
        <v>22.71</v>
      </c>
      <c r="N390" s="26">
        <v>22.71</v>
      </c>
      <c r="O390" s="26">
        <v>0</v>
      </c>
      <c r="P390" s="26">
        <v>0</v>
      </c>
      <c r="Q390" s="26">
        <v>0</v>
      </c>
      <c r="R390" s="26">
        <v>0</v>
      </c>
      <c r="S390" s="26">
        <f t="shared" si="19"/>
        <v>0</v>
      </c>
      <c r="T390" s="27">
        <v>300</v>
      </c>
    </row>
    <row r="391" spans="1:20" s="53" customFormat="1" ht="22.5">
      <c r="A391" s="21">
        <v>801</v>
      </c>
      <c r="B391" s="22">
        <v>30309000</v>
      </c>
      <c r="C391" s="33" t="s">
        <v>390</v>
      </c>
      <c r="D391" s="128"/>
      <c r="E391" s="21"/>
      <c r="F391" s="24"/>
      <c r="G391" s="25" t="s">
        <v>149</v>
      </c>
      <c r="H391" s="25" t="s">
        <v>155</v>
      </c>
      <c r="I391" s="25" t="s">
        <v>392</v>
      </c>
      <c r="J391" s="25" t="s">
        <v>31</v>
      </c>
      <c r="K391" s="25" t="s">
        <v>34</v>
      </c>
      <c r="L391" s="26">
        <f t="shared" si="18"/>
        <v>0</v>
      </c>
      <c r="M391" s="26">
        <v>104.78</v>
      </c>
      <c r="N391" s="26">
        <v>104.78</v>
      </c>
      <c r="O391" s="26">
        <v>0</v>
      </c>
      <c r="P391" s="26">
        <v>0</v>
      </c>
      <c r="Q391" s="26">
        <v>0</v>
      </c>
      <c r="R391" s="26">
        <v>0</v>
      </c>
      <c r="S391" s="26">
        <f t="shared" si="19"/>
        <v>0</v>
      </c>
      <c r="T391" s="27">
        <v>300</v>
      </c>
    </row>
    <row r="392" spans="1:20" s="53" customFormat="1" ht="67.5">
      <c r="A392" s="21">
        <v>801</v>
      </c>
      <c r="B392" s="22">
        <v>30310000</v>
      </c>
      <c r="C392" s="33" t="s">
        <v>394</v>
      </c>
      <c r="D392" s="30" t="s">
        <v>395</v>
      </c>
      <c r="E392" s="21"/>
      <c r="F392" s="24">
        <v>39097</v>
      </c>
      <c r="G392" s="25" t="s">
        <v>149</v>
      </c>
      <c r="H392" s="25" t="s">
        <v>155</v>
      </c>
      <c r="I392" s="25" t="s">
        <v>396</v>
      </c>
      <c r="J392" s="25" t="s">
        <v>31</v>
      </c>
      <c r="K392" s="25" t="s">
        <v>52</v>
      </c>
      <c r="L392" s="26">
        <f t="shared" si="18"/>
        <v>35.56</v>
      </c>
      <c r="M392" s="26">
        <v>36.64</v>
      </c>
      <c r="N392" s="26">
        <v>36.64</v>
      </c>
      <c r="O392" s="26">
        <v>35.56</v>
      </c>
      <c r="P392" s="26">
        <v>5.87</v>
      </c>
      <c r="Q392" s="26">
        <v>35.56</v>
      </c>
      <c r="R392" s="26">
        <v>35.56</v>
      </c>
      <c r="S392" s="26">
        <f t="shared" si="19"/>
        <v>35.56</v>
      </c>
      <c r="T392" s="27">
        <v>300</v>
      </c>
    </row>
    <row r="393" spans="1:20" s="53" customFormat="1" ht="135">
      <c r="A393" s="21">
        <v>801</v>
      </c>
      <c r="B393" s="22">
        <v>30310000</v>
      </c>
      <c r="C393" s="33" t="s">
        <v>394</v>
      </c>
      <c r="D393" s="30" t="s">
        <v>397</v>
      </c>
      <c r="E393" s="21"/>
      <c r="F393" s="24">
        <v>38971</v>
      </c>
      <c r="G393" s="25" t="s">
        <v>149</v>
      </c>
      <c r="H393" s="25" t="s">
        <v>155</v>
      </c>
      <c r="I393" s="25" t="s">
        <v>396</v>
      </c>
      <c r="J393" s="25" t="s">
        <v>31</v>
      </c>
      <c r="K393" s="25" t="s">
        <v>54</v>
      </c>
      <c r="L393" s="26">
        <f t="shared" si="18"/>
        <v>12.14</v>
      </c>
      <c r="M393" s="26">
        <v>11.06</v>
      </c>
      <c r="N393" s="26">
        <v>11.06</v>
      </c>
      <c r="O393" s="26">
        <v>12.14</v>
      </c>
      <c r="P393" s="26">
        <v>1.77</v>
      </c>
      <c r="Q393" s="26">
        <v>12.14</v>
      </c>
      <c r="R393" s="26">
        <v>12.14</v>
      </c>
      <c r="S393" s="26">
        <f t="shared" si="19"/>
        <v>12.14</v>
      </c>
      <c r="T393" s="27">
        <v>300</v>
      </c>
    </row>
    <row r="394" spans="1:20" s="53" customFormat="1" ht="56.25">
      <c r="A394" s="21">
        <v>801</v>
      </c>
      <c r="B394" s="22">
        <v>30317000</v>
      </c>
      <c r="C394" s="33" t="s">
        <v>231</v>
      </c>
      <c r="D394" s="30" t="s">
        <v>317</v>
      </c>
      <c r="E394" s="21"/>
      <c r="F394" s="24">
        <v>39797</v>
      </c>
      <c r="G394" s="25" t="s">
        <v>158</v>
      </c>
      <c r="H394" s="25" t="s">
        <v>161</v>
      </c>
      <c r="I394" s="25" t="s">
        <v>129</v>
      </c>
      <c r="J394" s="25" t="s">
        <v>73</v>
      </c>
      <c r="K394" s="25" t="s">
        <v>39</v>
      </c>
      <c r="L394" s="26">
        <f t="shared" si="18"/>
        <v>1133.5</v>
      </c>
      <c r="M394" s="26">
        <v>1050</v>
      </c>
      <c r="N394" s="26">
        <v>1050</v>
      </c>
      <c r="O394" s="26">
        <v>1133.5</v>
      </c>
      <c r="P394" s="26">
        <v>283.38</v>
      </c>
      <c r="Q394" s="26">
        <v>1133.5</v>
      </c>
      <c r="R394" s="26">
        <v>1133.5</v>
      </c>
      <c r="S394" s="26">
        <f t="shared" si="19"/>
        <v>1133.5</v>
      </c>
      <c r="T394" s="27">
        <v>300</v>
      </c>
    </row>
    <row r="395" spans="1:20" s="53" customFormat="1" ht="67.5">
      <c r="A395" s="21">
        <v>801</v>
      </c>
      <c r="B395" s="22">
        <v>30321000</v>
      </c>
      <c r="C395" s="33" t="s">
        <v>402</v>
      </c>
      <c r="D395" s="30" t="s">
        <v>411</v>
      </c>
      <c r="E395" s="21"/>
      <c r="F395" s="24">
        <v>39814</v>
      </c>
      <c r="G395" s="25" t="s">
        <v>154</v>
      </c>
      <c r="H395" s="25" t="s">
        <v>149</v>
      </c>
      <c r="I395" s="25" t="s">
        <v>412</v>
      </c>
      <c r="J395" s="25" t="s">
        <v>38</v>
      </c>
      <c r="K395" s="25" t="s">
        <v>39</v>
      </c>
      <c r="L395" s="26">
        <f t="shared" si="18"/>
        <v>0</v>
      </c>
      <c r="M395" s="26">
        <v>100</v>
      </c>
      <c r="N395" s="26">
        <v>100</v>
      </c>
      <c r="O395" s="26">
        <v>0</v>
      </c>
      <c r="P395" s="26">
        <v>0</v>
      </c>
      <c r="Q395" s="26">
        <v>0</v>
      </c>
      <c r="R395" s="26">
        <v>0</v>
      </c>
      <c r="S395" s="26">
        <f t="shared" si="19"/>
        <v>0</v>
      </c>
      <c r="T395" s="27">
        <v>300</v>
      </c>
    </row>
    <row r="396" spans="1:20" s="53" customFormat="1" ht="11.25">
      <c r="A396" s="21">
        <v>801</v>
      </c>
      <c r="B396" s="22">
        <v>30321000</v>
      </c>
      <c r="C396" s="33" t="s">
        <v>402</v>
      </c>
      <c r="D396" s="23"/>
      <c r="E396" s="21"/>
      <c r="F396" s="24"/>
      <c r="G396" s="25" t="s">
        <v>154</v>
      </c>
      <c r="H396" s="25" t="s">
        <v>149</v>
      </c>
      <c r="I396" s="25" t="s">
        <v>404</v>
      </c>
      <c r="J396" s="25" t="s">
        <v>73</v>
      </c>
      <c r="K396" s="25" t="s">
        <v>39</v>
      </c>
      <c r="L396" s="26">
        <f t="shared" si="18"/>
        <v>0</v>
      </c>
      <c r="M396" s="26">
        <v>9818.7</v>
      </c>
      <c r="N396" s="26">
        <v>9818.7</v>
      </c>
      <c r="O396" s="26">
        <v>0</v>
      </c>
      <c r="P396" s="26">
        <v>0</v>
      </c>
      <c r="Q396" s="26">
        <v>0</v>
      </c>
      <c r="R396" s="26">
        <v>0</v>
      </c>
      <c r="S396" s="26">
        <f t="shared" si="19"/>
        <v>0</v>
      </c>
      <c r="T396" s="27">
        <v>300</v>
      </c>
    </row>
    <row r="397" spans="1:20" s="53" customFormat="1" ht="11.25">
      <c r="A397" s="21">
        <v>801</v>
      </c>
      <c r="B397" s="22">
        <v>30321000</v>
      </c>
      <c r="C397" s="33" t="s">
        <v>402</v>
      </c>
      <c r="D397" s="23"/>
      <c r="E397" s="21"/>
      <c r="F397" s="24"/>
      <c r="G397" s="25" t="s">
        <v>154</v>
      </c>
      <c r="H397" s="25" t="s">
        <v>156</v>
      </c>
      <c r="I397" s="25" t="s">
        <v>410</v>
      </c>
      <c r="J397" s="25" t="s">
        <v>73</v>
      </c>
      <c r="K397" s="25" t="s">
        <v>39</v>
      </c>
      <c r="L397" s="26">
        <f t="shared" si="18"/>
        <v>0</v>
      </c>
      <c r="M397" s="26">
        <v>2045</v>
      </c>
      <c r="N397" s="26">
        <v>1915.2</v>
      </c>
      <c r="O397" s="26"/>
      <c r="P397" s="26"/>
      <c r="Q397" s="26"/>
      <c r="R397" s="26"/>
      <c r="S397" s="26">
        <f t="shared" si="19"/>
        <v>0</v>
      </c>
      <c r="T397" s="27">
        <v>300</v>
      </c>
    </row>
    <row r="398" spans="1:20" s="53" customFormat="1" ht="67.5">
      <c r="A398" s="21">
        <v>801</v>
      </c>
      <c r="B398" s="22">
        <v>30321000</v>
      </c>
      <c r="C398" s="33" t="s">
        <v>402</v>
      </c>
      <c r="D398" s="30" t="s">
        <v>411</v>
      </c>
      <c r="E398" s="21"/>
      <c r="F398" s="24">
        <v>39814</v>
      </c>
      <c r="G398" s="25" t="s">
        <v>154</v>
      </c>
      <c r="H398" s="25" t="s">
        <v>156</v>
      </c>
      <c r="I398" s="25" t="s">
        <v>412</v>
      </c>
      <c r="J398" s="25" t="s">
        <v>38</v>
      </c>
      <c r="K398" s="25" t="s">
        <v>39</v>
      </c>
      <c r="L398" s="26">
        <f t="shared" si="18"/>
        <v>0</v>
      </c>
      <c r="M398" s="26">
        <v>200</v>
      </c>
      <c r="N398" s="26">
        <v>200</v>
      </c>
      <c r="O398" s="26">
        <v>0</v>
      </c>
      <c r="P398" s="26">
        <v>0</v>
      </c>
      <c r="Q398" s="26">
        <v>0</v>
      </c>
      <c r="R398" s="26">
        <v>0</v>
      </c>
      <c r="S398" s="26">
        <f t="shared" si="19"/>
        <v>0</v>
      </c>
      <c r="T398" s="27">
        <v>300</v>
      </c>
    </row>
    <row r="399" spans="1:20" s="53" customFormat="1" ht="11.25">
      <c r="A399" s="21">
        <v>801</v>
      </c>
      <c r="B399" s="22">
        <v>30321000</v>
      </c>
      <c r="C399" s="33" t="s">
        <v>402</v>
      </c>
      <c r="D399" s="23"/>
      <c r="E399" s="21"/>
      <c r="F399" s="24"/>
      <c r="G399" s="25" t="s">
        <v>154</v>
      </c>
      <c r="H399" s="25" t="s">
        <v>156</v>
      </c>
      <c r="I399" s="25" t="s">
        <v>404</v>
      </c>
      <c r="J399" s="25" t="s">
        <v>73</v>
      </c>
      <c r="K399" s="25" t="s">
        <v>39</v>
      </c>
      <c r="L399" s="26">
        <f t="shared" si="18"/>
        <v>0</v>
      </c>
      <c r="M399" s="26">
        <v>17477.93</v>
      </c>
      <c r="N399" s="26">
        <v>17477.93</v>
      </c>
      <c r="O399" s="26">
        <v>0</v>
      </c>
      <c r="P399" s="26">
        <v>0</v>
      </c>
      <c r="Q399" s="26">
        <v>0</v>
      </c>
      <c r="R399" s="26">
        <v>0</v>
      </c>
      <c r="S399" s="26">
        <f t="shared" si="19"/>
        <v>0</v>
      </c>
      <c r="T399" s="27">
        <v>300</v>
      </c>
    </row>
    <row r="400" spans="1:20" s="53" customFormat="1" ht="11.25">
      <c r="A400" s="21">
        <v>801</v>
      </c>
      <c r="B400" s="22">
        <v>30321000</v>
      </c>
      <c r="C400" s="33" t="s">
        <v>402</v>
      </c>
      <c r="D400" s="23"/>
      <c r="E400" s="21"/>
      <c r="F400" s="24"/>
      <c r="G400" s="25" t="s">
        <v>154</v>
      </c>
      <c r="H400" s="25" t="s">
        <v>156</v>
      </c>
      <c r="I400" s="25" t="s">
        <v>404</v>
      </c>
      <c r="J400" s="25" t="s">
        <v>38</v>
      </c>
      <c r="K400" s="25" t="s">
        <v>39</v>
      </c>
      <c r="L400" s="26">
        <f t="shared" si="18"/>
        <v>0</v>
      </c>
      <c r="M400" s="26">
        <v>1215.23</v>
      </c>
      <c r="N400" s="26">
        <v>1215.23</v>
      </c>
      <c r="O400" s="26">
        <v>0</v>
      </c>
      <c r="P400" s="26">
        <v>0</v>
      </c>
      <c r="Q400" s="26">
        <v>0</v>
      </c>
      <c r="R400" s="26">
        <v>0</v>
      </c>
      <c r="S400" s="26">
        <f t="shared" si="19"/>
        <v>0</v>
      </c>
      <c r="T400" s="27">
        <v>300</v>
      </c>
    </row>
    <row r="401" spans="1:20" s="53" customFormat="1" ht="45" customHeight="1">
      <c r="A401" s="21">
        <v>801</v>
      </c>
      <c r="B401" s="22">
        <v>30321000</v>
      </c>
      <c r="C401" s="33" t="s">
        <v>402</v>
      </c>
      <c r="D401" s="127" t="s">
        <v>403</v>
      </c>
      <c r="E401" s="21"/>
      <c r="F401" s="24">
        <v>40544</v>
      </c>
      <c r="G401" s="25" t="s">
        <v>154</v>
      </c>
      <c r="H401" s="25" t="s">
        <v>154</v>
      </c>
      <c r="I401" s="25" t="s">
        <v>404</v>
      </c>
      <c r="J401" s="25" t="s">
        <v>31</v>
      </c>
      <c r="K401" s="25" t="s">
        <v>60</v>
      </c>
      <c r="L401" s="26">
        <f>O401</f>
        <v>0</v>
      </c>
      <c r="M401" s="26">
        <v>3927.1</v>
      </c>
      <c r="N401" s="26">
        <v>3927.1</v>
      </c>
      <c r="O401" s="26">
        <v>0</v>
      </c>
      <c r="P401" s="26">
        <v>0</v>
      </c>
      <c r="Q401" s="26">
        <v>0</v>
      </c>
      <c r="R401" s="26">
        <v>0</v>
      </c>
      <c r="S401" s="26">
        <f t="shared" si="19"/>
        <v>0</v>
      </c>
      <c r="T401" s="27">
        <v>300</v>
      </c>
    </row>
    <row r="402" spans="1:20" s="53" customFormat="1" ht="11.25">
      <c r="A402" s="21">
        <v>801</v>
      </c>
      <c r="B402" s="22">
        <v>30321000</v>
      </c>
      <c r="C402" s="33" t="s">
        <v>402</v>
      </c>
      <c r="D402" s="128"/>
      <c r="E402" s="21"/>
      <c r="F402" s="24"/>
      <c r="G402" s="25" t="s">
        <v>154</v>
      </c>
      <c r="H402" s="25" t="s">
        <v>154</v>
      </c>
      <c r="I402" s="25" t="s">
        <v>404</v>
      </c>
      <c r="J402" s="25" t="s">
        <v>31</v>
      </c>
      <c r="K402" s="25" t="s">
        <v>376</v>
      </c>
      <c r="L402" s="26">
        <f>O402</f>
        <v>0</v>
      </c>
      <c r="M402" s="26">
        <v>13275</v>
      </c>
      <c r="N402" s="26">
        <v>13275</v>
      </c>
      <c r="O402" s="26">
        <v>0</v>
      </c>
      <c r="P402" s="26">
        <v>0</v>
      </c>
      <c r="Q402" s="26">
        <v>0</v>
      </c>
      <c r="R402" s="26">
        <v>0</v>
      </c>
      <c r="S402" s="26">
        <f t="shared" si="19"/>
        <v>0</v>
      </c>
      <c r="T402" s="27">
        <v>300</v>
      </c>
    </row>
    <row r="403" spans="1:20" s="53" customFormat="1" ht="33.75">
      <c r="A403" s="21">
        <v>801</v>
      </c>
      <c r="B403" s="22">
        <v>30325000</v>
      </c>
      <c r="C403" s="33" t="s">
        <v>405</v>
      </c>
      <c r="D403" s="34" t="s">
        <v>406</v>
      </c>
      <c r="E403" s="21"/>
      <c r="F403" s="24"/>
      <c r="G403" s="25" t="s">
        <v>158</v>
      </c>
      <c r="H403" s="25" t="s">
        <v>153</v>
      </c>
      <c r="I403" s="25" t="s">
        <v>407</v>
      </c>
      <c r="J403" s="25" t="s">
        <v>63</v>
      </c>
      <c r="K403" s="25" t="s">
        <v>137</v>
      </c>
      <c r="L403" s="26">
        <f>O403</f>
        <v>11790</v>
      </c>
      <c r="M403" s="26">
        <v>41256</v>
      </c>
      <c r="N403" s="26">
        <v>41256</v>
      </c>
      <c r="O403" s="26">
        <v>11790</v>
      </c>
      <c r="P403" s="26">
        <v>4716</v>
      </c>
      <c r="Q403" s="26">
        <v>0</v>
      </c>
      <c r="R403" s="26">
        <v>0</v>
      </c>
      <c r="S403" s="26">
        <f t="shared" si="19"/>
        <v>0</v>
      </c>
      <c r="T403" s="27">
        <v>300</v>
      </c>
    </row>
    <row r="404" spans="1:20" s="53" customFormat="1" ht="33.75">
      <c r="A404" s="21">
        <v>801</v>
      </c>
      <c r="B404" s="22">
        <v>30325000</v>
      </c>
      <c r="C404" s="33" t="s">
        <v>405</v>
      </c>
      <c r="D404" s="34" t="s">
        <v>408</v>
      </c>
      <c r="E404" s="21"/>
      <c r="F404" s="24"/>
      <c r="G404" s="25" t="s">
        <v>158</v>
      </c>
      <c r="H404" s="25" t="s">
        <v>153</v>
      </c>
      <c r="I404" s="25" t="s">
        <v>409</v>
      </c>
      <c r="J404" s="25" t="s">
        <v>63</v>
      </c>
      <c r="K404" s="25" t="s">
        <v>137</v>
      </c>
      <c r="L404" s="26">
        <f>O404</f>
        <v>2358</v>
      </c>
      <c r="M404" s="26">
        <v>1149.3</v>
      </c>
      <c r="N404" s="26">
        <v>1149.3</v>
      </c>
      <c r="O404" s="26">
        <v>2358</v>
      </c>
      <c r="P404" s="26">
        <v>0</v>
      </c>
      <c r="Q404" s="26">
        <v>2358</v>
      </c>
      <c r="R404" s="26">
        <v>2358</v>
      </c>
      <c r="S404" s="26">
        <f t="shared" si="19"/>
        <v>2358</v>
      </c>
      <c r="T404" s="27">
        <v>300</v>
      </c>
    </row>
    <row r="405" spans="1:20" ht="11.25">
      <c r="A405" s="93" t="s">
        <v>413</v>
      </c>
      <c r="B405" s="10"/>
      <c r="C405" s="10"/>
      <c r="D405" s="10"/>
      <c r="E405" s="10"/>
      <c r="F405" s="10"/>
      <c r="G405" s="10"/>
      <c r="H405" s="10"/>
      <c r="I405" s="10"/>
      <c r="J405" s="10"/>
      <c r="K405" s="10"/>
      <c r="L405" s="51">
        <f aca="true" t="shared" si="21" ref="L405:S405">SUM(L213:L404)</f>
        <v>149407.33000000005</v>
      </c>
      <c r="M405" s="51">
        <f t="shared" si="21"/>
        <v>239048.391</v>
      </c>
      <c r="N405" s="51">
        <f t="shared" si="21"/>
        <v>229411.87299999996</v>
      </c>
      <c r="O405" s="51">
        <f t="shared" si="21"/>
        <v>150627.65000000005</v>
      </c>
      <c r="P405" s="51">
        <f t="shared" si="21"/>
        <v>26109.944</v>
      </c>
      <c r="Q405" s="51">
        <f t="shared" si="21"/>
        <v>109248</v>
      </c>
      <c r="R405" s="51">
        <f t="shared" si="21"/>
        <v>97945.2</v>
      </c>
      <c r="S405" s="51">
        <f t="shared" si="21"/>
        <v>97945.2</v>
      </c>
      <c r="T405" s="10"/>
    </row>
    <row r="406" spans="1:20" s="53" customFormat="1" ht="21.75" customHeight="1">
      <c r="A406" s="19">
        <v>825</v>
      </c>
      <c r="B406" s="19" t="s">
        <v>27</v>
      </c>
      <c r="C406" s="45" t="s">
        <v>28</v>
      </c>
      <c r="D406" s="120" t="s">
        <v>418</v>
      </c>
      <c r="E406" s="64"/>
      <c r="F406" s="123">
        <v>39479</v>
      </c>
      <c r="G406" s="16" t="s">
        <v>149</v>
      </c>
      <c r="H406" s="16" t="s">
        <v>161</v>
      </c>
      <c r="I406" s="16" t="s">
        <v>51</v>
      </c>
      <c r="J406" s="16" t="s">
        <v>31</v>
      </c>
      <c r="K406" s="16" t="s">
        <v>52</v>
      </c>
      <c r="L406" s="47">
        <v>3500</v>
      </c>
      <c r="M406" s="47">
        <v>3327</v>
      </c>
      <c r="N406" s="47">
        <v>3234.82</v>
      </c>
      <c r="O406" s="47">
        <v>3500</v>
      </c>
      <c r="P406" s="47">
        <v>583.44</v>
      </c>
      <c r="Q406" s="47">
        <v>3500</v>
      </c>
      <c r="R406" s="47">
        <v>3500</v>
      </c>
      <c r="S406" s="47">
        <v>3500</v>
      </c>
      <c r="T406" s="19">
        <v>300</v>
      </c>
    </row>
    <row r="407" spans="1:20" s="53" customFormat="1" ht="22.5">
      <c r="A407" s="19">
        <v>825</v>
      </c>
      <c r="B407" s="19" t="s">
        <v>27</v>
      </c>
      <c r="C407" s="45" t="s">
        <v>28</v>
      </c>
      <c r="D407" s="121"/>
      <c r="E407" s="64"/>
      <c r="F407" s="124"/>
      <c r="G407" s="16" t="s">
        <v>149</v>
      </c>
      <c r="H407" s="16" t="s">
        <v>161</v>
      </c>
      <c r="I407" s="16" t="s">
        <v>51</v>
      </c>
      <c r="J407" s="16" t="s">
        <v>31</v>
      </c>
      <c r="K407" s="16" t="s">
        <v>53</v>
      </c>
      <c r="L407" s="47">
        <v>1.5</v>
      </c>
      <c r="M407" s="47">
        <v>0.8</v>
      </c>
      <c r="N407" s="47">
        <v>0.75</v>
      </c>
      <c r="O407" s="47">
        <v>1.5</v>
      </c>
      <c r="P407" s="47">
        <v>0.12</v>
      </c>
      <c r="Q407" s="47">
        <v>1.5</v>
      </c>
      <c r="R407" s="47">
        <v>1.5</v>
      </c>
      <c r="S407" s="47">
        <v>1.5</v>
      </c>
      <c r="T407" s="19">
        <v>300</v>
      </c>
    </row>
    <row r="408" spans="1:20" s="53" customFormat="1" ht="22.5">
      <c r="A408" s="19">
        <v>825</v>
      </c>
      <c r="B408" s="19" t="s">
        <v>27</v>
      </c>
      <c r="C408" s="45" t="s">
        <v>28</v>
      </c>
      <c r="D408" s="122"/>
      <c r="E408" s="64"/>
      <c r="F408" s="125"/>
      <c r="G408" s="16" t="s">
        <v>149</v>
      </c>
      <c r="H408" s="16" t="s">
        <v>161</v>
      </c>
      <c r="I408" s="16" t="s">
        <v>51</v>
      </c>
      <c r="J408" s="16" t="s">
        <v>31</v>
      </c>
      <c r="K408" s="16" t="s">
        <v>54</v>
      </c>
      <c r="L408" s="47">
        <v>1060</v>
      </c>
      <c r="M408" s="47">
        <v>1050</v>
      </c>
      <c r="N408" s="47">
        <v>991.61</v>
      </c>
      <c r="O408" s="47">
        <v>1060</v>
      </c>
      <c r="P408" s="47">
        <v>86.82</v>
      </c>
      <c r="Q408" s="47">
        <v>1060</v>
      </c>
      <c r="R408" s="47">
        <v>1060</v>
      </c>
      <c r="S408" s="47">
        <v>1060</v>
      </c>
      <c r="T408" s="19">
        <v>300</v>
      </c>
    </row>
    <row r="409" spans="1:20" s="53" customFormat="1" ht="22.5">
      <c r="A409" s="19">
        <v>825</v>
      </c>
      <c r="B409" s="19" t="s">
        <v>27</v>
      </c>
      <c r="C409" s="45" t="s">
        <v>28</v>
      </c>
      <c r="D409" s="120" t="s">
        <v>419</v>
      </c>
      <c r="E409" s="64"/>
      <c r="F409" s="126">
        <v>38558</v>
      </c>
      <c r="G409" s="16" t="s">
        <v>149</v>
      </c>
      <c r="H409" s="16" t="s">
        <v>161</v>
      </c>
      <c r="I409" s="16" t="s">
        <v>51</v>
      </c>
      <c r="J409" s="16" t="s">
        <v>31</v>
      </c>
      <c r="K409" s="16" t="s">
        <v>55</v>
      </c>
      <c r="L409" s="47">
        <v>119</v>
      </c>
      <c r="M409" s="47">
        <v>112</v>
      </c>
      <c r="N409" s="47">
        <v>102.83</v>
      </c>
      <c r="O409" s="47">
        <v>119</v>
      </c>
      <c r="P409" s="47">
        <v>15.7</v>
      </c>
      <c r="Q409" s="47">
        <v>119</v>
      </c>
      <c r="R409" s="47">
        <v>119</v>
      </c>
      <c r="S409" s="47">
        <v>119</v>
      </c>
      <c r="T409" s="19">
        <v>300</v>
      </c>
    </row>
    <row r="410" spans="1:20" s="53" customFormat="1" ht="22.5">
      <c r="A410" s="19">
        <v>825</v>
      </c>
      <c r="B410" s="19" t="s">
        <v>27</v>
      </c>
      <c r="C410" s="45" t="s">
        <v>28</v>
      </c>
      <c r="D410" s="121"/>
      <c r="E410" s="64"/>
      <c r="F410" s="126"/>
      <c r="G410" s="16" t="s">
        <v>149</v>
      </c>
      <c r="H410" s="16" t="s">
        <v>161</v>
      </c>
      <c r="I410" s="16" t="s">
        <v>51</v>
      </c>
      <c r="J410" s="16" t="s">
        <v>31</v>
      </c>
      <c r="K410" s="16" t="s">
        <v>59</v>
      </c>
      <c r="L410" s="47">
        <v>10</v>
      </c>
      <c r="M410" s="47">
        <v>49</v>
      </c>
      <c r="N410" s="47">
        <v>46.37</v>
      </c>
      <c r="O410" s="47">
        <v>10</v>
      </c>
      <c r="P410" s="47">
        <v>0.75</v>
      </c>
      <c r="Q410" s="47">
        <v>10</v>
      </c>
      <c r="R410" s="47">
        <v>10</v>
      </c>
      <c r="S410" s="47">
        <v>10</v>
      </c>
      <c r="T410" s="19">
        <v>300</v>
      </c>
    </row>
    <row r="411" spans="1:20" s="53" customFormat="1" ht="22.5">
      <c r="A411" s="19">
        <v>825</v>
      </c>
      <c r="B411" s="19" t="s">
        <v>27</v>
      </c>
      <c r="C411" s="45" t="s">
        <v>28</v>
      </c>
      <c r="D411" s="121"/>
      <c r="E411" s="64"/>
      <c r="F411" s="126"/>
      <c r="G411" s="16" t="s">
        <v>149</v>
      </c>
      <c r="H411" s="16" t="s">
        <v>161</v>
      </c>
      <c r="I411" s="16" t="s">
        <v>51</v>
      </c>
      <c r="J411" s="16" t="s">
        <v>31</v>
      </c>
      <c r="K411" s="16" t="s">
        <v>60</v>
      </c>
      <c r="L411" s="47">
        <v>159</v>
      </c>
      <c r="M411" s="47">
        <v>147.2</v>
      </c>
      <c r="N411" s="47">
        <v>92.7</v>
      </c>
      <c r="O411" s="47">
        <v>159</v>
      </c>
      <c r="P411" s="47">
        <v>21.17</v>
      </c>
      <c r="Q411" s="47">
        <v>159</v>
      </c>
      <c r="R411" s="47">
        <v>159</v>
      </c>
      <c r="S411" s="47">
        <v>159</v>
      </c>
      <c r="T411" s="19">
        <v>300</v>
      </c>
    </row>
    <row r="412" spans="1:20" s="53" customFormat="1" ht="22.5">
      <c r="A412" s="19">
        <v>825</v>
      </c>
      <c r="B412" s="19" t="s">
        <v>27</v>
      </c>
      <c r="C412" s="45" t="s">
        <v>28</v>
      </c>
      <c r="D412" s="121"/>
      <c r="E412" s="64"/>
      <c r="F412" s="126"/>
      <c r="G412" s="16" t="s">
        <v>149</v>
      </c>
      <c r="H412" s="16" t="s">
        <v>161</v>
      </c>
      <c r="I412" s="16" t="s">
        <v>51</v>
      </c>
      <c r="J412" s="16" t="s">
        <v>31</v>
      </c>
      <c r="K412" s="16" t="s">
        <v>32</v>
      </c>
      <c r="L412" s="47">
        <v>5</v>
      </c>
      <c r="M412" s="47">
        <v>5</v>
      </c>
      <c r="N412" s="47">
        <v>2.35</v>
      </c>
      <c r="O412" s="47">
        <v>5</v>
      </c>
      <c r="P412" s="47">
        <v>0.57</v>
      </c>
      <c r="Q412" s="47">
        <v>5</v>
      </c>
      <c r="R412" s="47">
        <v>5</v>
      </c>
      <c r="S412" s="47">
        <v>5</v>
      </c>
      <c r="T412" s="19">
        <v>300</v>
      </c>
    </row>
    <row r="413" spans="1:20" s="53" customFormat="1" ht="22.5">
      <c r="A413" s="19">
        <v>825</v>
      </c>
      <c r="B413" s="19" t="s">
        <v>27</v>
      </c>
      <c r="C413" s="45" t="s">
        <v>28</v>
      </c>
      <c r="D413" s="121"/>
      <c r="E413" s="64"/>
      <c r="F413" s="126"/>
      <c r="G413" s="16" t="s">
        <v>149</v>
      </c>
      <c r="H413" s="16" t="s">
        <v>161</v>
      </c>
      <c r="I413" s="16" t="s">
        <v>51</v>
      </c>
      <c r="J413" s="16" t="s">
        <v>31</v>
      </c>
      <c r="K413" s="16" t="s">
        <v>101</v>
      </c>
      <c r="L413" s="47">
        <v>12</v>
      </c>
      <c r="M413" s="47">
        <v>12</v>
      </c>
      <c r="N413" s="47">
        <v>11.69</v>
      </c>
      <c r="O413" s="47">
        <v>12</v>
      </c>
      <c r="P413" s="47">
        <v>0.78</v>
      </c>
      <c r="Q413" s="47">
        <v>12</v>
      </c>
      <c r="R413" s="47">
        <v>12</v>
      </c>
      <c r="S413" s="47">
        <v>12</v>
      </c>
      <c r="T413" s="19">
        <v>300</v>
      </c>
    </row>
    <row r="414" spans="1:20" s="53" customFormat="1" ht="22.5">
      <c r="A414" s="19">
        <v>825</v>
      </c>
      <c r="B414" s="19" t="s">
        <v>27</v>
      </c>
      <c r="C414" s="45" t="s">
        <v>28</v>
      </c>
      <c r="D414" s="122"/>
      <c r="E414" s="64"/>
      <c r="F414" s="126"/>
      <c r="G414" s="16" t="s">
        <v>149</v>
      </c>
      <c r="H414" s="16" t="s">
        <v>161</v>
      </c>
      <c r="I414" s="16" t="s">
        <v>51</v>
      </c>
      <c r="J414" s="16" t="s">
        <v>31</v>
      </c>
      <c r="K414" s="16" t="s">
        <v>34</v>
      </c>
      <c r="L414" s="47">
        <v>133.5</v>
      </c>
      <c r="M414" s="47">
        <v>97</v>
      </c>
      <c r="N414" s="47">
        <v>87.73</v>
      </c>
      <c r="O414" s="47">
        <v>133.5</v>
      </c>
      <c r="P414" s="47">
        <v>4.62</v>
      </c>
      <c r="Q414" s="47">
        <v>133.5</v>
      </c>
      <c r="R414" s="47">
        <v>133.5</v>
      </c>
      <c r="S414" s="47">
        <v>133.5</v>
      </c>
      <c r="T414" s="19">
        <v>300</v>
      </c>
    </row>
    <row r="415" spans="1:20" s="53" customFormat="1" ht="22.5">
      <c r="A415" s="19">
        <v>825</v>
      </c>
      <c r="B415" s="19" t="s">
        <v>27</v>
      </c>
      <c r="C415" s="45" t="s">
        <v>28</v>
      </c>
      <c r="D415" s="19"/>
      <c r="E415" s="19"/>
      <c r="F415" s="19"/>
      <c r="G415" s="16" t="s">
        <v>149</v>
      </c>
      <c r="H415" s="16" t="s">
        <v>161</v>
      </c>
      <c r="I415" s="16" t="s">
        <v>76</v>
      </c>
      <c r="J415" s="16" t="s">
        <v>31</v>
      </c>
      <c r="K415" s="16" t="s">
        <v>101</v>
      </c>
      <c r="L415" s="47">
        <v>50</v>
      </c>
      <c r="M415" s="47">
        <v>0</v>
      </c>
      <c r="N415" s="47">
        <v>0</v>
      </c>
      <c r="O415" s="47">
        <v>50</v>
      </c>
      <c r="P415" s="47">
        <v>0</v>
      </c>
      <c r="Q415" s="47">
        <v>0</v>
      </c>
      <c r="R415" s="47">
        <v>0</v>
      </c>
      <c r="S415" s="47">
        <v>0</v>
      </c>
      <c r="T415" s="19">
        <v>300</v>
      </c>
    </row>
    <row r="416" spans="1:20" s="53" customFormat="1" ht="22.5">
      <c r="A416" s="19">
        <v>825</v>
      </c>
      <c r="B416" s="19" t="s">
        <v>27</v>
      </c>
      <c r="C416" s="45" t="s">
        <v>28</v>
      </c>
      <c r="D416" s="120" t="s">
        <v>432</v>
      </c>
      <c r="E416" s="64"/>
      <c r="F416" s="126">
        <v>40589</v>
      </c>
      <c r="G416" s="16" t="s">
        <v>149</v>
      </c>
      <c r="H416" s="16" t="s">
        <v>161</v>
      </c>
      <c r="I416" s="16" t="s">
        <v>78</v>
      </c>
      <c r="J416" s="16" t="s">
        <v>31</v>
      </c>
      <c r="K416" s="16" t="s">
        <v>60</v>
      </c>
      <c r="L416" s="47">
        <v>14</v>
      </c>
      <c r="M416" s="47">
        <v>0</v>
      </c>
      <c r="N416" s="47">
        <v>0</v>
      </c>
      <c r="O416" s="47">
        <v>14</v>
      </c>
      <c r="P416" s="47">
        <v>0</v>
      </c>
      <c r="Q416" s="47">
        <v>0</v>
      </c>
      <c r="R416" s="47">
        <v>0</v>
      </c>
      <c r="S416" s="47">
        <v>0</v>
      </c>
      <c r="T416" s="19">
        <v>300</v>
      </c>
    </row>
    <row r="417" spans="1:20" s="53" customFormat="1" ht="22.5">
      <c r="A417" s="19">
        <v>825</v>
      </c>
      <c r="B417" s="19" t="s">
        <v>27</v>
      </c>
      <c r="C417" s="45" t="s">
        <v>28</v>
      </c>
      <c r="D417" s="122"/>
      <c r="E417" s="64"/>
      <c r="F417" s="126"/>
      <c r="G417" s="16" t="s">
        <v>149</v>
      </c>
      <c r="H417" s="16" t="s">
        <v>161</v>
      </c>
      <c r="I417" s="16" t="s">
        <v>78</v>
      </c>
      <c r="J417" s="16" t="s">
        <v>31</v>
      </c>
      <c r="K417" s="16" t="s">
        <v>101</v>
      </c>
      <c r="L417" s="47">
        <v>86</v>
      </c>
      <c r="M417" s="47">
        <v>0</v>
      </c>
      <c r="N417" s="47">
        <v>0</v>
      </c>
      <c r="O417" s="47">
        <v>86</v>
      </c>
      <c r="P417" s="47">
        <v>0</v>
      </c>
      <c r="Q417" s="47">
        <v>0</v>
      </c>
      <c r="R417" s="47">
        <v>0</v>
      </c>
      <c r="S417" s="47">
        <v>0</v>
      </c>
      <c r="T417" s="19">
        <v>300</v>
      </c>
    </row>
    <row r="418" spans="1:20" s="53" customFormat="1" ht="75" customHeight="1">
      <c r="A418" s="19">
        <v>825</v>
      </c>
      <c r="B418" s="19" t="s">
        <v>46</v>
      </c>
      <c r="C418" s="45" t="s">
        <v>69</v>
      </c>
      <c r="D418" s="81" t="s">
        <v>430</v>
      </c>
      <c r="E418" s="64"/>
      <c r="F418" s="108">
        <v>41073</v>
      </c>
      <c r="G418" s="16" t="s">
        <v>157</v>
      </c>
      <c r="H418" s="16" t="s">
        <v>157</v>
      </c>
      <c r="I418" s="16" t="s">
        <v>131</v>
      </c>
      <c r="J418" s="16" t="s">
        <v>31</v>
      </c>
      <c r="K418" s="16" t="s">
        <v>53</v>
      </c>
      <c r="L418" s="47"/>
      <c r="M418" s="47">
        <v>7</v>
      </c>
      <c r="N418" s="47">
        <v>7</v>
      </c>
      <c r="O418" s="47">
        <v>0</v>
      </c>
      <c r="P418" s="47">
        <v>0</v>
      </c>
      <c r="Q418" s="47">
        <v>0</v>
      </c>
      <c r="R418" s="47">
        <v>0</v>
      </c>
      <c r="S418" s="47">
        <v>0</v>
      </c>
      <c r="T418" s="19">
        <v>300</v>
      </c>
    </row>
    <row r="419" spans="1:20" s="53" customFormat="1" ht="47.25" customHeight="1">
      <c r="A419" s="43">
        <v>825</v>
      </c>
      <c r="B419" s="43" t="s">
        <v>27</v>
      </c>
      <c r="C419" s="45" t="s">
        <v>28</v>
      </c>
      <c r="D419" s="64" t="s">
        <v>433</v>
      </c>
      <c r="E419" s="64"/>
      <c r="F419" s="64" t="s">
        <v>434</v>
      </c>
      <c r="G419" s="16" t="s">
        <v>150</v>
      </c>
      <c r="H419" s="16" t="s">
        <v>149</v>
      </c>
      <c r="I419" s="16" t="s">
        <v>414</v>
      </c>
      <c r="J419" s="16" t="s">
        <v>267</v>
      </c>
      <c r="K419" s="16" t="s">
        <v>415</v>
      </c>
      <c r="L419" s="47">
        <v>600</v>
      </c>
      <c r="M419" s="47">
        <v>245</v>
      </c>
      <c r="N419" s="47">
        <v>0</v>
      </c>
      <c r="O419" s="47">
        <v>600</v>
      </c>
      <c r="P419" s="47">
        <v>0</v>
      </c>
      <c r="Q419" s="47">
        <v>600</v>
      </c>
      <c r="R419" s="47">
        <v>600</v>
      </c>
      <c r="S419" s="47">
        <v>600</v>
      </c>
      <c r="T419" s="19">
        <v>300</v>
      </c>
    </row>
    <row r="420" spans="1:20" s="53" customFormat="1" ht="11.25">
      <c r="A420" s="46" t="s">
        <v>416</v>
      </c>
      <c r="B420" s="19"/>
      <c r="C420" s="19"/>
      <c r="D420" s="19"/>
      <c r="E420" s="19"/>
      <c r="F420" s="19"/>
      <c r="G420" s="16"/>
      <c r="H420" s="16"/>
      <c r="I420" s="16"/>
      <c r="J420" s="16"/>
      <c r="K420" s="16"/>
      <c r="L420" s="48">
        <f aca="true" t="shared" si="22" ref="L420:S420">L406+L407+L408+L409+L410+L411+L412+L413+L414+L415+L416+L417+L418+L419</f>
        <v>5750</v>
      </c>
      <c r="M420" s="48">
        <f t="shared" si="22"/>
        <v>5052</v>
      </c>
      <c r="N420" s="48">
        <f t="shared" si="22"/>
        <v>4577.849999999999</v>
      </c>
      <c r="O420" s="48">
        <f t="shared" si="22"/>
        <v>5750</v>
      </c>
      <c r="P420" s="48">
        <f t="shared" si="22"/>
        <v>713.9700000000001</v>
      </c>
      <c r="Q420" s="48">
        <f t="shared" si="22"/>
        <v>5600</v>
      </c>
      <c r="R420" s="48">
        <f t="shared" si="22"/>
        <v>5600</v>
      </c>
      <c r="S420" s="48">
        <f t="shared" si="22"/>
        <v>5600</v>
      </c>
      <c r="T420" s="19"/>
    </row>
    <row r="421" spans="1:20" ht="22.5">
      <c r="A421" s="19">
        <v>682</v>
      </c>
      <c r="B421" s="19" t="s">
        <v>27</v>
      </c>
      <c r="C421" s="64" t="s">
        <v>28</v>
      </c>
      <c r="D421" s="64"/>
      <c r="E421" s="64"/>
      <c r="F421" s="64"/>
      <c r="G421" s="16" t="s">
        <v>149</v>
      </c>
      <c r="H421" s="16" t="s">
        <v>150</v>
      </c>
      <c r="I421" s="16" t="s">
        <v>30</v>
      </c>
      <c r="J421" s="16" t="s">
        <v>31</v>
      </c>
      <c r="K421" s="16" t="s">
        <v>32</v>
      </c>
      <c r="L421" s="49">
        <v>0</v>
      </c>
      <c r="M421" s="107">
        <v>80</v>
      </c>
      <c r="N421" s="107">
        <v>80</v>
      </c>
      <c r="O421" s="49">
        <v>0</v>
      </c>
      <c r="P421" s="49">
        <v>0</v>
      </c>
      <c r="Q421" s="49">
        <v>0</v>
      </c>
      <c r="R421" s="49">
        <v>0</v>
      </c>
      <c r="S421" s="49">
        <v>0</v>
      </c>
      <c r="T421" s="19">
        <v>300</v>
      </c>
    </row>
    <row r="422" spans="1:20" ht="22.5">
      <c r="A422" s="19">
        <v>682</v>
      </c>
      <c r="B422" s="19" t="s">
        <v>27</v>
      </c>
      <c r="C422" s="64" t="s">
        <v>28</v>
      </c>
      <c r="D422" s="117" t="s">
        <v>418</v>
      </c>
      <c r="E422" s="64"/>
      <c r="F422" s="123">
        <v>39479</v>
      </c>
      <c r="G422" s="16" t="s">
        <v>155</v>
      </c>
      <c r="H422" s="16" t="s">
        <v>280</v>
      </c>
      <c r="I422" s="16" t="s">
        <v>51</v>
      </c>
      <c r="J422" s="16" t="s">
        <v>31</v>
      </c>
      <c r="K422" s="16" t="s">
        <v>52</v>
      </c>
      <c r="L422" s="49">
        <v>0</v>
      </c>
      <c r="M422" s="107">
        <v>403.61</v>
      </c>
      <c r="N422" s="107">
        <v>396.97</v>
      </c>
      <c r="O422" s="49">
        <v>0</v>
      </c>
      <c r="P422" s="49">
        <v>0</v>
      </c>
      <c r="Q422" s="49">
        <v>0</v>
      </c>
      <c r="R422" s="49">
        <v>0</v>
      </c>
      <c r="S422" s="49">
        <v>0</v>
      </c>
      <c r="T422" s="19">
        <v>300</v>
      </c>
    </row>
    <row r="423" spans="1:20" ht="22.5">
      <c r="A423" s="19">
        <v>682</v>
      </c>
      <c r="B423" s="19" t="s">
        <v>27</v>
      </c>
      <c r="C423" s="64" t="s">
        <v>28</v>
      </c>
      <c r="D423" s="119"/>
      <c r="E423" s="64"/>
      <c r="F423" s="125"/>
      <c r="G423" s="16" t="s">
        <v>155</v>
      </c>
      <c r="H423" s="16" t="s">
        <v>280</v>
      </c>
      <c r="I423" s="16" t="s">
        <v>51</v>
      </c>
      <c r="J423" s="16" t="s">
        <v>31</v>
      </c>
      <c r="K423" s="16" t="s">
        <v>54</v>
      </c>
      <c r="L423" s="49">
        <v>0</v>
      </c>
      <c r="M423" s="107">
        <v>107.66</v>
      </c>
      <c r="N423" s="107">
        <v>104.13</v>
      </c>
      <c r="O423" s="49">
        <v>0</v>
      </c>
      <c r="P423" s="49">
        <v>0</v>
      </c>
      <c r="Q423" s="49">
        <v>0</v>
      </c>
      <c r="R423" s="49">
        <v>0</v>
      </c>
      <c r="S423" s="49">
        <v>0</v>
      </c>
      <c r="T423" s="19">
        <v>300</v>
      </c>
    </row>
    <row r="424" spans="1:20" ht="22.5">
      <c r="A424" s="19">
        <v>682</v>
      </c>
      <c r="B424" s="19" t="s">
        <v>27</v>
      </c>
      <c r="C424" s="64" t="s">
        <v>28</v>
      </c>
      <c r="D424" s="117" t="s">
        <v>419</v>
      </c>
      <c r="E424" s="64"/>
      <c r="F424" s="123">
        <v>38558</v>
      </c>
      <c r="G424" s="16" t="s">
        <v>155</v>
      </c>
      <c r="H424" s="16" t="s">
        <v>280</v>
      </c>
      <c r="I424" s="16" t="s">
        <v>51</v>
      </c>
      <c r="J424" s="16" t="s">
        <v>31</v>
      </c>
      <c r="K424" s="16" t="s">
        <v>55</v>
      </c>
      <c r="L424" s="49">
        <v>0</v>
      </c>
      <c r="M424" s="107">
        <v>8.4</v>
      </c>
      <c r="N424" s="107">
        <v>2.69</v>
      </c>
      <c r="O424" s="49">
        <v>0</v>
      </c>
      <c r="P424" s="49">
        <v>0</v>
      </c>
      <c r="Q424" s="49">
        <v>0</v>
      </c>
      <c r="R424" s="49">
        <v>0</v>
      </c>
      <c r="S424" s="49">
        <v>0</v>
      </c>
      <c r="T424" s="19">
        <v>300</v>
      </c>
    </row>
    <row r="425" spans="1:20" ht="22.5">
      <c r="A425" s="19">
        <v>682</v>
      </c>
      <c r="B425" s="19" t="s">
        <v>27</v>
      </c>
      <c r="C425" s="64" t="s">
        <v>28</v>
      </c>
      <c r="D425" s="118"/>
      <c r="E425" s="64"/>
      <c r="F425" s="124"/>
      <c r="G425" s="16" t="s">
        <v>155</v>
      </c>
      <c r="H425" s="16" t="s">
        <v>280</v>
      </c>
      <c r="I425" s="16" t="s">
        <v>51</v>
      </c>
      <c r="J425" s="16" t="s">
        <v>31</v>
      </c>
      <c r="K425" s="16" t="s">
        <v>59</v>
      </c>
      <c r="L425" s="49">
        <v>0</v>
      </c>
      <c r="M425" s="107">
        <v>13.5</v>
      </c>
      <c r="N425" s="107">
        <v>13.5</v>
      </c>
      <c r="O425" s="49">
        <v>0</v>
      </c>
      <c r="P425" s="49">
        <v>0</v>
      </c>
      <c r="Q425" s="49">
        <v>0</v>
      </c>
      <c r="R425" s="49">
        <v>0</v>
      </c>
      <c r="S425" s="49">
        <v>0</v>
      </c>
      <c r="T425" s="19">
        <v>300</v>
      </c>
    </row>
    <row r="426" spans="1:20" ht="22.5">
      <c r="A426" s="19">
        <v>682</v>
      </c>
      <c r="B426" s="19" t="s">
        <v>27</v>
      </c>
      <c r="C426" s="64" t="s">
        <v>28</v>
      </c>
      <c r="D426" s="118"/>
      <c r="E426" s="64"/>
      <c r="F426" s="124"/>
      <c r="G426" s="16" t="s">
        <v>155</v>
      </c>
      <c r="H426" s="16" t="s">
        <v>280</v>
      </c>
      <c r="I426" s="16" t="s">
        <v>51</v>
      </c>
      <c r="J426" s="16" t="s">
        <v>31</v>
      </c>
      <c r="K426" s="16" t="s">
        <v>60</v>
      </c>
      <c r="L426" s="49">
        <v>0</v>
      </c>
      <c r="M426" s="107">
        <v>7.66</v>
      </c>
      <c r="N426" s="107">
        <v>7.66</v>
      </c>
      <c r="O426" s="49">
        <v>0</v>
      </c>
      <c r="P426" s="49">
        <v>0</v>
      </c>
      <c r="Q426" s="49">
        <v>0</v>
      </c>
      <c r="R426" s="49">
        <v>0</v>
      </c>
      <c r="S426" s="49">
        <v>0</v>
      </c>
      <c r="T426" s="19">
        <v>300</v>
      </c>
    </row>
    <row r="427" spans="1:20" ht="22.5">
      <c r="A427" s="19">
        <v>682</v>
      </c>
      <c r="B427" s="19" t="s">
        <v>27</v>
      </c>
      <c r="C427" s="64" t="s">
        <v>28</v>
      </c>
      <c r="D427" s="118"/>
      <c r="E427" s="64"/>
      <c r="F427" s="124"/>
      <c r="G427" s="16" t="s">
        <v>155</v>
      </c>
      <c r="H427" s="16" t="s">
        <v>280</v>
      </c>
      <c r="I427" s="16" t="s">
        <v>51</v>
      </c>
      <c r="J427" s="16" t="s">
        <v>31</v>
      </c>
      <c r="K427" s="16" t="s">
        <v>32</v>
      </c>
      <c r="L427" s="49">
        <v>0</v>
      </c>
      <c r="M427" s="107">
        <v>8.82</v>
      </c>
      <c r="N427" s="107">
        <v>7.04</v>
      </c>
      <c r="O427" s="49">
        <v>0</v>
      </c>
      <c r="P427" s="49">
        <v>0</v>
      </c>
      <c r="Q427" s="49">
        <v>0</v>
      </c>
      <c r="R427" s="49">
        <v>0</v>
      </c>
      <c r="S427" s="49">
        <v>0</v>
      </c>
      <c r="T427" s="19">
        <v>300</v>
      </c>
    </row>
    <row r="428" spans="1:20" ht="22.5">
      <c r="A428" s="19">
        <v>682</v>
      </c>
      <c r="B428" s="19" t="s">
        <v>27</v>
      </c>
      <c r="C428" s="64" t="s">
        <v>28</v>
      </c>
      <c r="D428" s="119"/>
      <c r="E428" s="64"/>
      <c r="F428" s="125"/>
      <c r="G428" s="16" t="s">
        <v>155</v>
      </c>
      <c r="H428" s="16" t="s">
        <v>280</v>
      </c>
      <c r="I428" s="16" t="s">
        <v>51</v>
      </c>
      <c r="J428" s="16" t="s">
        <v>31</v>
      </c>
      <c r="K428" s="16" t="s">
        <v>34</v>
      </c>
      <c r="L428" s="49">
        <v>0</v>
      </c>
      <c r="M428" s="107">
        <v>126.55</v>
      </c>
      <c r="N428" s="107">
        <v>124.41</v>
      </c>
      <c r="O428" s="49">
        <v>0</v>
      </c>
      <c r="P428" s="49">
        <v>0</v>
      </c>
      <c r="Q428" s="49">
        <v>0</v>
      </c>
      <c r="R428" s="49">
        <v>0</v>
      </c>
      <c r="S428" s="49">
        <v>0</v>
      </c>
      <c r="T428" s="19">
        <v>300</v>
      </c>
    </row>
    <row r="429" spans="1:20" ht="90">
      <c r="A429" s="19">
        <v>682</v>
      </c>
      <c r="B429" s="102">
        <v>30131000</v>
      </c>
      <c r="C429" s="41" t="s">
        <v>420</v>
      </c>
      <c r="D429" s="64" t="s">
        <v>421</v>
      </c>
      <c r="E429" s="64"/>
      <c r="F429" s="64" t="s">
        <v>422</v>
      </c>
      <c r="G429" s="16" t="s">
        <v>153</v>
      </c>
      <c r="H429" s="16" t="s">
        <v>154</v>
      </c>
      <c r="I429" s="16" t="s">
        <v>423</v>
      </c>
      <c r="J429" s="16" t="s">
        <v>31</v>
      </c>
      <c r="K429" s="16" t="s">
        <v>60</v>
      </c>
      <c r="L429" s="49">
        <v>0</v>
      </c>
      <c r="M429" s="107">
        <v>0</v>
      </c>
      <c r="N429" s="107">
        <v>0</v>
      </c>
      <c r="O429" s="49">
        <v>0</v>
      </c>
      <c r="P429" s="49">
        <v>0</v>
      </c>
      <c r="Q429" s="49">
        <v>0</v>
      </c>
      <c r="R429" s="49">
        <v>0</v>
      </c>
      <c r="S429" s="49">
        <v>0</v>
      </c>
      <c r="T429" s="19">
        <v>300</v>
      </c>
    </row>
    <row r="430" spans="1:20" ht="78.75">
      <c r="A430" s="19">
        <v>682</v>
      </c>
      <c r="B430" s="102">
        <v>30131000</v>
      </c>
      <c r="C430" s="41" t="s">
        <v>420</v>
      </c>
      <c r="D430" s="64" t="s">
        <v>424</v>
      </c>
      <c r="E430" s="64"/>
      <c r="F430" s="64" t="s">
        <v>422</v>
      </c>
      <c r="G430" s="16" t="s">
        <v>153</v>
      </c>
      <c r="H430" s="16" t="s">
        <v>154</v>
      </c>
      <c r="I430" s="16" t="s">
        <v>425</v>
      </c>
      <c r="J430" s="16" t="s">
        <v>31</v>
      </c>
      <c r="K430" s="16" t="s">
        <v>60</v>
      </c>
      <c r="L430" s="49">
        <v>0</v>
      </c>
      <c r="M430" s="107">
        <v>0</v>
      </c>
      <c r="N430" s="107">
        <v>0</v>
      </c>
      <c r="O430" s="49">
        <v>0</v>
      </c>
      <c r="P430" s="49">
        <v>0</v>
      </c>
      <c r="Q430" s="49">
        <v>0</v>
      </c>
      <c r="R430" s="49">
        <v>0</v>
      </c>
      <c r="S430" s="49">
        <v>0</v>
      </c>
      <c r="T430" s="19">
        <v>300</v>
      </c>
    </row>
    <row r="431" spans="1:20" ht="33.75">
      <c r="A431" s="19">
        <v>682</v>
      </c>
      <c r="B431" s="102">
        <v>30300000</v>
      </c>
      <c r="C431" s="41" t="s">
        <v>104</v>
      </c>
      <c r="D431" s="117" t="s">
        <v>426</v>
      </c>
      <c r="E431" s="117" t="s">
        <v>427</v>
      </c>
      <c r="F431" s="117" t="s">
        <v>428</v>
      </c>
      <c r="G431" s="16" t="s">
        <v>155</v>
      </c>
      <c r="H431" s="16" t="s">
        <v>280</v>
      </c>
      <c r="I431" s="16" t="s">
        <v>429</v>
      </c>
      <c r="J431" s="16" t="s">
        <v>31</v>
      </c>
      <c r="K431" s="16" t="s">
        <v>52</v>
      </c>
      <c r="L431" s="49">
        <v>0</v>
      </c>
      <c r="M431" s="107">
        <v>2721.69</v>
      </c>
      <c r="N431" s="107">
        <v>2721.69</v>
      </c>
      <c r="O431" s="49">
        <v>0</v>
      </c>
      <c r="P431" s="49">
        <v>0</v>
      </c>
      <c r="Q431" s="49">
        <v>0</v>
      </c>
      <c r="R431" s="49">
        <v>0</v>
      </c>
      <c r="S431" s="49">
        <v>0</v>
      </c>
      <c r="T431" s="19">
        <v>300</v>
      </c>
    </row>
    <row r="432" spans="1:20" ht="33.75">
      <c r="A432" s="19">
        <v>682</v>
      </c>
      <c r="B432" s="102">
        <v>30300000</v>
      </c>
      <c r="C432" s="41" t="s">
        <v>104</v>
      </c>
      <c r="D432" s="118"/>
      <c r="E432" s="118"/>
      <c r="F432" s="118"/>
      <c r="G432" s="16" t="s">
        <v>155</v>
      </c>
      <c r="H432" s="16" t="s">
        <v>280</v>
      </c>
      <c r="I432" s="16" t="s">
        <v>429</v>
      </c>
      <c r="J432" s="16" t="s">
        <v>31</v>
      </c>
      <c r="K432" s="16" t="s">
        <v>53</v>
      </c>
      <c r="L432" s="49">
        <v>0</v>
      </c>
      <c r="M432" s="107">
        <v>3.45</v>
      </c>
      <c r="N432" s="107">
        <v>3.45</v>
      </c>
      <c r="O432" s="49">
        <v>0</v>
      </c>
      <c r="P432" s="49">
        <v>0</v>
      </c>
      <c r="Q432" s="49">
        <v>0</v>
      </c>
      <c r="R432" s="49">
        <v>0</v>
      </c>
      <c r="S432" s="49">
        <v>0</v>
      </c>
      <c r="T432" s="19">
        <v>300</v>
      </c>
    </row>
    <row r="433" spans="1:20" ht="33.75">
      <c r="A433" s="19">
        <v>682</v>
      </c>
      <c r="B433" s="102">
        <v>30300000</v>
      </c>
      <c r="C433" s="41" t="s">
        <v>104</v>
      </c>
      <c r="D433" s="118"/>
      <c r="E433" s="118"/>
      <c r="F433" s="118"/>
      <c r="G433" s="16" t="s">
        <v>155</v>
      </c>
      <c r="H433" s="16" t="s">
        <v>280</v>
      </c>
      <c r="I433" s="16" t="s">
        <v>429</v>
      </c>
      <c r="J433" s="16" t="s">
        <v>31</v>
      </c>
      <c r="K433" s="16" t="s">
        <v>54</v>
      </c>
      <c r="L433" s="49">
        <v>0</v>
      </c>
      <c r="M433" s="107">
        <v>769.1</v>
      </c>
      <c r="N433" s="107">
        <v>761.4</v>
      </c>
      <c r="O433" s="49">
        <v>0</v>
      </c>
      <c r="P433" s="49">
        <v>0</v>
      </c>
      <c r="Q433" s="49">
        <v>0</v>
      </c>
      <c r="R433" s="49">
        <v>0</v>
      </c>
      <c r="S433" s="49">
        <v>0</v>
      </c>
      <c r="T433" s="19">
        <v>300</v>
      </c>
    </row>
    <row r="434" spans="1:20" ht="33.75">
      <c r="A434" s="19">
        <v>682</v>
      </c>
      <c r="B434" s="102">
        <v>30300000</v>
      </c>
      <c r="C434" s="41" t="s">
        <v>104</v>
      </c>
      <c r="D434" s="118"/>
      <c r="E434" s="118"/>
      <c r="F434" s="118"/>
      <c r="G434" s="16" t="s">
        <v>155</v>
      </c>
      <c r="H434" s="16" t="s">
        <v>280</v>
      </c>
      <c r="I434" s="16" t="s">
        <v>429</v>
      </c>
      <c r="J434" s="16" t="s">
        <v>31</v>
      </c>
      <c r="K434" s="16" t="s">
        <v>55</v>
      </c>
      <c r="L434" s="49">
        <v>0</v>
      </c>
      <c r="M434" s="107">
        <v>57.8</v>
      </c>
      <c r="N434" s="107">
        <v>57.8</v>
      </c>
      <c r="O434" s="49">
        <v>0</v>
      </c>
      <c r="P434" s="49">
        <v>0</v>
      </c>
      <c r="Q434" s="49">
        <v>0</v>
      </c>
      <c r="R434" s="49">
        <v>0</v>
      </c>
      <c r="S434" s="49">
        <v>0</v>
      </c>
      <c r="T434" s="19">
        <v>300</v>
      </c>
    </row>
    <row r="435" spans="1:20" ht="33.75">
      <c r="A435" s="19">
        <v>682</v>
      </c>
      <c r="B435" s="102">
        <v>30300000</v>
      </c>
      <c r="C435" s="41" t="s">
        <v>104</v>
      </c>
      <c r="D435" s="118"/>
      <c r="E435" s="118"/>
      <c r="F435" s="118"/>
      <c r="G435" s="16" t="s">
        <v>155</v>
      </c>
      <c r="H435" s="16" t="s">
        <v>280</v>
      </c>
      <c r="I435" s="16" t="s">
        <v>429</v>
      </c>
      <c r="J435" s="16" t="s">
        <v>31</v>
      </c>
      <c r="K435" s="16" t="s">
        <v>59</v>
      </c>
      <c r="L435" s="49">
        <v>0</v>
      </c>
      <c r="M435" s="107">
        <v>3.01</v>
      </c>
      <c r="N435" s="107">
        <v>3.01</v>
      </c>
      <c r="O435" s="49">
        <v>0</v>
      </c>
      <c r="P435" s="49">
        <v>0</v>
      </c>
      <c r="Q435" s="49">
        <v>0</v>
      </c>
      <c r="R435" s="49">
        <v>0</v>
      </c>
      <c r="S435" s="49">
        <v>0</v>
      </c>
      <c r="T435" s="19">
        <v>300</v>
      </c>
    </row>
    <row r="436" spans="1:20" ht="33.75">
      <c r="A436" s="19">
        <v>682</v>
      </c>
      <c r="B436" s="102">
        <v>30300000</v>
      </c>
      <c r="C436" s="41" t="s">
        <v>104</v>
      </c>
      <c r="D436" s="118"/>
      <c r="E436" s="118"/>
      <c r="F436" s="118"/>
      <c r="G436" s="16" t="s">
        <v>155</v>
      </c>
      <c r="H436" s="16" t="s">
        <v>280</v>
      </c>
      <c r="I436" s="16" t="s">
        <v>429</v>
      </c>
      <c r="J436" s="16" t="s">
        <v>31</v>
      </c>
      <c r="K436" s="16" t="s">
        <v>60</v>
      </c>
      <c r="L436" s="49">
        <v>0</v>
      </c>
      <c r="M436" s="107">
        <v>62.39</v>
      </c>
      <c r="N436" s="107">
        <v>62.39</v>
      </c>
      <c r="O436" s="49">
        <v>0</v>
      </c>
      <c r="P436" s="49">
        <v>0</v>
      </c>
      <c r="Q436" s="49">
        <v>0</v>
      </c>
      <c r="R436" s="49">
        <v>0</v>
      </c>
      <c r="S436" s="49">
        <v>0</v>
      </c>
      <c r="T436" s="19">
        <v>300</v>
      </c>
    </row>
    <row r="437" spans="1:20" ht="33.75">
      <c r="A437" s="19">
        <v>682</v>
      </c>
      <c r="B437" s="102">
        <v>30300000</v>
      </c>
      <c r="C437" s="41" t="s">
        <v>104</v>
      </c>
      <c r="D437" s="118"/>
      <c r="E437" s="118"/>
      <c r="F437" s="118"/>
      <c r="G437" s="16" t="s">
        <v>155</v>
      </c>
      <c r="H437" s="16" t="s">
        <v>280</v>
      </c>
      <c r="I437" s="16" t="s">
        <v>429</v>
      </c>
      <c r="J437" s="16" t="s">
        <v>31</v>
      </c>
      <c r="K437" s="16" t="s">
        <v>32</v>
      </c>
      <c r="L437" s="49">
        <v>0</v>
      </c>
      <c r="M437" s="107">
        <v>0</v>
      </c>
      <c r="N437" s="107">
        <v>0</v>
      </c>
      <c r="O437" s="49">
        <v>0</v>
      </c>
      <c r="P437" s="49">
        <v>0</v>
      </c>
      <c r="Q437" s="49">
        <v>0</v>
      </c>
      <c r="R437" s="49">
        <v>0</v>
      </c>
      <c r="S437" s="49">
        <v>0</v>
      </c>
      <c r="T437" s="19">
        <v>300</v>
      </c>
    </row>
    <row r="438" spans="1:20" ht="33.75">
      <c r="A438" s="19">
        <v>682</v>
      </c>
      <c r="B438" s="102">
        <v>30300000</v>
      </c>
      <c r="C438" s="41" t="s">
        <v>104</v>
      </c>
      <c r="D438" s="118"/>
      <c r="E438" s="118"/>
      <c r="F438" s="118"/>
      <c r="G438" s="16" t="s">
        <v>155</v>
      </c>
      <c r="H438" s="16" t="s">
        <v>280</v>
      </c>
      <c r="I438" s="16" t="s">
        <v>429</v>
      </c>
      <c r="J438" s="16" t="s">
        <v>31</v>
      </c>
      <c r="K438" s="16" t="s">
        <v>101</v>
      </c>
      <c r="L438" s="49">
        <v>0</v>
      </c>
      <c r="M438" s="107">
        <v>30</v>
      </c>
      <c r="N438" s="107">
        <v>30</v>
      </c>
      <c r="O438" s="49">
        <v>0</v>
      </c>
      <c r="P438" s="49">
        <v>0</v>
      </c>
      <c r="Q438" s="49">
        <v>0</v>
      </c>
      <c r="R438" s="49">
        <v>0</v>
      </c>
      <c r="S438" s="49">
        <v>0</v>
      </c>
      <c r="T438" s="19">
        <v>300</v>
      </c>
    </row>
    <row r="439" spans="1:20" ht="33.75">
      <c r="A439" s="19">
        <v>682</v>
      </c>
      <c r="B439" s="102">
        <v>30300000</v>
      </c>
      <c r="C439" s="41" t="s">
        <v>104</v>
      </c>
      <c r="D439" s="119"/>
      <c r="E439" s="119"/>
      <c r="F439" s="119"/>
      <c r="G439" s="16" t="s">
        <v>155</v>
      </c>
      <c r="H439" s="16" t="s">
        <v>280</v>
      </c>
      <c r="I439" s="16" t="s">
        <v>429</v>
      </c>
      <c r="J439" s="16" t="s">
        <v>31</v>
      </c>
      <c r="K439" s="16" t="s">
        <v>34</v>
      </c>
      <c r="L439" s="49">
        <v>0</v>
      </c>
      <c r="M439" s="107">
        <v>34.26</v>
      </c>
      <c r="N439" s="107">
        <v>34.26</v>
      </c>
      <c r="O439" s="49">
        <v>0</v>
      </c>
      <c r="P439" s="49">
        <v>0</v>
      </c>
      <c r="Q439" s="49">
        <v>0</v>
      </c>
      <c r="R439" s="49">
        <v>0</v>
      </c>
      <c r="S439" s="49">
        <v>0</v>
      </c>
      <c r="T439" s="19">
        <v>300</v>
      </c>
    </row>
    <row r="440" spans="1:20" ht="78.75">
      <c r="A440" s="19">
        <v>682</v>
      </c>
      <c r="B440" s="19" t="s">
        <v>46</v>
      </c>
      <c r="C440" s="64" t="s">
        <v>69</v>
      </c>
      <c r="D440" s="64" t="s">
        <v>430</v>
      </c>
      <c r="E440" s="64"/>
      <c r="F440" s="108">
        <v>41073</v>
      </c>
      <c r="G440" s="16" t="s">
        <v>157</v>
      </c>
      <c r="H440" s="16" t="s">
        <v>157</v>
      </c>
      <c r="I440" s="16" t="s">
        <v>131</v>
      </c>
      <c r="J440" s="16" t="s">
        <v>31</v>
      </c>
      <c r="K440" s="16" t="s">
        <v>53</v>
      </c>
      <c r="L440" s="49">
        <v>0</v>
      </c>
      <c r="M440" s="107">
        <v>3.5</v>
      </c>
      <c r="N440" s="107">
        <v>3.5</v>
      </c>
      <c r="O440" s="49">
        <v>0</v>
      </c>
      <c r="P440" s="49">
        <v>0</v>
      </c>
      <c r="Q440" s="49">
        <v>0</v>
      </c>
      <c r="R440" s="49">
        <v>0</v>
      </c>
      <c r="S440" s="49">
        <v>0</v>
      </c>
      <c r="T440" s="19">
        <v>300</v>
      </c>
    </row>
    <row r="441" spans="1:20" ht="11.25">
      <c r="A441" s="93" t="s">
        <v>431</v>
      </c>
      <c r="B441" s="10"/>
      <c r="C441" s="10"/>
      <c r="D441" s="10"/>
      <c r="E441" s="10"/>
      <c r="F441" s="10"/>
      <c r="G441" s="10"/>
      <c r="H441" s="10"/>
      <c r="I441" s="10"/>
      <c r="J441" s="10"/>
      <c r="K441" s="10"/>
      <c r="L441" s="51">
        <f>SUM(L421:L440)</f>
        <v>0</v>
      </c>
      <c r="M441" s="51">
        <f>SUM(M421:M440)</f>
        <v>4441.400000000001</v>
      </c>
      <c r="N441" s="51">
        <f>SUM(N421:N440)</f>
        <v>4413.900000000001</v>
      </c>
      <c r="O441" s="51">
        <f>SUM(O421:O440)</f>
        <v>0</v>
      </c>
      <c r="P441" s="51">
        <f>SUM(P421:P440)</f>
        <v>0</v>
      </c>
      <c r="Q441" s="51">
        <f>SUM(Q421:Q440)</f>
        <v>0</v>
      </c>
      <c r="R441" s="51">
        <f>SUM(R421:R440)</f>
        <v>0</v>
      </c>
      <c r="S441" s="51">
        <f>SUM(S421:S440)</f>
        <v>0</v>
      </c>
      <c r="T441" s="10"/>
    </row>
    <row r="442" spans="1:20" ht="11.25">
      <c r="A442" s="42"/>
      <c r="M442" s="109"/>
      <c r="N442" s="109"/>
      <c r="O442" s="109"/>
      <c r="P442" s="109"/>
      <c r="Q442" s="109"/>
      <c r="R442" s="109"/>
      <c r="S442" s="109"/>
      <c r="T442" s="110"/>
    </row>
    <row r="443" spans="1:20" ht="11.25">
      <c r="A443" s="93" t="s">
        <v>417</v>
      </c>
      <c r="B443" s="93"/>
      <c r="C443" s="93"/>
      <c r="D443" s="93"/>
      <c r="E443" s="93"/>
      <c r="F443" s="93"/>
      <c r="G443" s="93"/>
      <c r="H443" s="93"/>
      <c r="I443" s="93"/>
      <c r="J443" s="93"/>
      <c r="K443" s="93"/>
      <c r="L443" s="111">
        <f>L104+L126+L137+L212+L405+L420+L441</f>
        <v>740166.6600000001</v>
      </c>
      <c r="M443" s="111">
        <f aca="true" t="shared" si="23" ref="M443:S443">M104+M126+M137+M212+M405+M420+M441</f>
        <v>768211.23962</v>
      </c>
      <c r="N443" s="111">
        <f t="shared" si="23"/>
        <v>752358.3596999999</v>
      </c>
      <c r="O443" s="111">
        <f t="shared" si="23"/>
        <v>727360.0599999999</v>
      </c>
      <c r="P443" s="111">
        <f t="shared" si="23"/>
        <v>148695.49053</v>
      </c>
      <c r="Q443" s="111">
        <f t="shared" si="23"/>
        <v>610106.2</v>
      </c>
      <c r="R443" s="111">
        <f t="shared" si="23"/>
        <v>595562.2999999999</v>
      </c>
      <c r="S443" s="111">
        <f t="shared" si="23"/>
        <v>595168.5999999999</v>
      </c>
      <c r="T443" s="93"/>
    </row>
  </sheetData>
  <sheetProtection/>
  <mergeCells count="59">
    <mergeCell ref="D10:D12"/>
    <mergeCell ref="D15:D25"/>
    <mergeCell ref="E15:E16"/>
    <mergeCell ref="D35:D36"/>
    <mergeCell ref="D37:D42"/>
    <mergeCell ref="D26:D29"/>
    <mergeCell ref="D32:D33"/>
    <mergeCell ref="E49:E50"/>
    <mergeCell ref="D91:D98"/>
    <mergeCell ref="D48:D56"/>
    <mergeCell ref="D63:D64"/>
    <mergeCell ref="D45:D46"/>
    <mergeCell ref="D100:D102"/>
    <mergeCell ref="D69:D72"/>
    <mergeCell ref="D65:D66"/>
    <mergeCell ref="D79:D81"/>
    <mergeCell ref="D82:D90"/>
    <mergeCell ref="A1:T1"/>
    <mergeCell ref="A2:T2"/>
    <mergeCell ref="A6:A8"/>
    <mergeCell ref="B6:B8"/>
    <mergeCell ref="C6:C8"/>
    <mergeCell ref="O7:P7"/>
    <mergeCell ref="D6:D8"/>
    <mergeCell ref="E6:E8"/>
    <mergeCell ref="J7:J8"/>
    <mergeCell ref="T6:T8"/>
    <mergeCell ref="G6:K6"/>
    <mergeCell ref="R7:S7"/>
    <mergeCell ref="M6:S6"/>
    <mergeCell ref="M7:N7"/>
    <mergeCell ref="L6:L8"/>
    <mergeCell ref="Q7:Q8"/>
    <mergeCell ref="F6:F8"/>
    <mergeCell ref="I7:I8"/>
    <mergeCell ref="G7:G8"/>
    <mergeCell ref="K7:K8"/>
    <mergeCell ref="H7:H8"/>
    <mergeCell ref="D401:D402"/>
    <mergeCell ref="D215:D216"/>
    <mergeCell ref="D341:D343"/>
    <mergeCell ref="D364:D368"/>
    <mergeCell ref="D377:D379"/>
    <mergeCell ref="D381:D385"/>
    <mergeCell ref="D387:D391"/>
    <mergeCell ref="D374:D375"/>
    <mergeCell ref="D431:D439"/>
    <mergeCell ref="E431:E439"/>
    <mergeCell ref="F431:F439"/>
    <mergeCell ref="D406:D408"/>
    <mergeCell ref="F406:F408"/>
    <mergeCell ref="D409:D414"/>
    <mergeCell ref="F409:F414"/>
    <mergeCell ref="D416:D417"/>
    <mergeCell ref="F416:F417"/>
    <mergeCell ref="D422:D423"/>
    <mergeCell ref="F422:F423"/>
    <mergeCell ref="D424:D428"/>
    <mergeCell ref="F424:F428"/>
  </mergeCells>
  <dataValidations count="3">
    <dataValidation type="textLength" allowBlank="1" showInputMessage="1" showErrorMessage="1" error="Недопустимое количество символов в строке" sqref="C406:C419 C429:C439 C127:C136 C59:C61 C10:C47 C118 C105 C107:C116 C75:C103 C138:C211 D358 D353 C65:C73 C213:C404">
      <formula1>0</formula1>
      <formula2>255</formula2>
    </dataValidation>
    <dataValidation type="decimal" allowBlank="1" showInputMessage="1" showErrorMessage="1" error="Введенное число превышает допустимое значение" sqref="L67:S69 L71:S77 L78:N78 L59:L61 Q37:S58 L47:P57 M58:N60">
      <formula1>-99999999999</formula1>
      <formula2>99999999999</formula2>
    </dataValidation>
    <dataValidation type="whole" allowBlank="1" showInputMessage="1" showErrorMessage="1" error="Введите целое число между 10000000 и 99999999" sqref="B138:B211 B429:B439">
      <formula1>10000000</formula1>
      <formula2>99999999</formula2>
    </dataValidation>
  </dataValidations>
  <printOptions/>
  <pageMargins left="0.17" right="0.18" top="0.23" bottom="0.3937007874015748" header="0.5118110236220472" footer="0.24"/>
  <pageSetup fitToHeight="20"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Анна В. Канюкова</cp:lastModifiedBy>
  <cp:lastPrinted>2013-04-24T12:39:23Z</cp:lastPrinted>
  <dcterms:created xsi:type="dcterms:W3CDTF">2012-08-20T10:25:05Z</dcterms:created>
  <dcterms:modified xsi:type="dcterms:W3CDTF">2013-05-07T06:41:59Z</dcterms:modified>
  <cp:category/>
  <cp:version/>
  <cp:contentType/>
  <cp:contentStatus/>
</cp:coreProperties>
</file>